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<sst xmlns="http://schemas.openxmlformats.org/spreadsheetml/2006/main" count="463" uniqueCount="211">
  <si>
    <t>ОТЧЕТ ОБ ИСПОЛНЕНИИ БЮДЖЕТА</t>
  </si>
  <si>
    <t>КОДЫ</t>
  </si>
  <si>
    <t xml:space="preserve">Форма по ОКУД </t>
  </si>
  <si>
    <t>0503117</t>
  </si>
  <si>
    <t>на 1 сентября 2013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</si>
  <si>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</si>
  <si>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</si>
  <si>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</si>
  <si>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</si>
  <si>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</si>
  <si>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</si>
  <si>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</si>
  <si>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</si>
  <si>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ОКАТО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</si>
  <si>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</si>
  <si>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</si>
  <si>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</si>
  <si>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</si>
  <si>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</si>
  <si>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</si>
  <si>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</si>
  <si>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</si>
  <si>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</si>
  <si>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</si>
  <si>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</si>
  <si>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</si>
  <si>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</si>
  <si>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</si>
  <si>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</si>
  <si>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</si>
  <si>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</si>
  <si>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</si>
  <si>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</si>
  <si>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</si>
  <si>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</si>
  <si>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</si>
  <si>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</si>
  <si>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</si>
  <si>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</si>
  <si>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</si>
  <si>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</si>
  <si>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</si>
  <si>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</si>
  <si>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</si>
  <si>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</si>
  <si>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</si>
  <si>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</si>
  <si>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</si>
  <si>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</si>
  <si>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</si>
  <si>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</si>
  <si>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</si>
  <si>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</si>
  <si>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</si>
  <si>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</si>
  <si>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</si>
  <si>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</si>
  <si>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</si>
  <si>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821 11105013 10 0000 120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</si>
  <si>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</si>
  <si>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821 11406013 10 0000 430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</si>
  <si>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</si>
  <si>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</si>
  <si>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Невыясненные поступления, зачисляемые в бюджеты поселений</t>
  </si>
  <si>
    <t>992 11701050 10 0000 180</t>
  </si>
  <si>
    <t>Дотации бюджетам поселений на поддержку мер по обеспечению сбалансированности бюджетов</t>
  </si>
  <si>
    <t>992 20201003 10 0000 151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</si>
  <si>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</si>
  <si>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992 20202077 10 0000 151</t>
  </si>
  <si>
    <t>Прочие субсидии бюджетам поселений</t>
  </si>
  <si>
    <t>992 20202999 10 0000 151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</si>
  <si>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</si>
  <si>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</si>
  <si>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Прочие безвозмездные поступления в бюджеты поселений</t>
  </si>
  <si>
    <t>992 20705030 10 0000 180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</si>
  <si>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</si>
  <si>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</si>
  <si>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</si>
  <si>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</si>
  <si>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</si>
  <si>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</si>
  <si>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</si>
  <si>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</si>
  <si>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</si>
  <si>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992 0102 0020100 120 211</t>
  </si>
  <si>
    <t>Начисления на выплаты по оплате труда</t>
  </si>
  <si>
    <t>992 0102 0020100 120 213</t>
  </si>
  <si>
    <t>992 0104 0020400 120 211</t>
  </si>
  <si>
    <t>992 0104 0020400 120 213</t>
  </si>
  <si>
    <t>Прочие выплаты</t>
  </si>
  <si>
    <t>992 0104 0020400 240 212</t>
  </si>
  <si>
    <t>Услуги связи</t>
  </si>
  <si>
    <t>992 0104 0020400 240 221</t>
  </si>
  <si>
    <t>Коммунальные услуги</t>
  </si>
  <si>
    <t>992 0104 0020400 240 223</t>
  </si>
  <si>
    <t>Работы, услуги по содержанию имущества</t>
  </si>
  <si>
    <t>992 0104 0020400 240 225</t>
  </si>
  <si>
    <t>Прочие работы, услуги</t>
  </si>
  <si>
    <t>992 0104 0020400 240 226</t>
  </si>
  <si>
    <t>Увеличение стоимости основных средств</t>
  </si>
  <si>
    <t>992 0104 0020400 240 310</t>
  </si>
  <si>
    <t>Увеличение стоимости материальных запасов</t>
  </si>
  <si>
    <t>992 0104 0020400 240 340</t>
  </si>
  <si>
    <t>Прочие расходы</t>
  </si>
  <si>
    <t>992 0104 0020400 850 290</t>
  </si>
  <si>
    <t>992 0104 0029500 240 340</t>
  </si>
  <si>
    <t>Перечисления другим бюджетам бюджетной системы Российской Федерации</t>
  </si>
  <si>
    <t>992 0106 0020400 540 251</t>
  </si>
  <si>
    <t>992 0111 0700400 870 290</t>
  </si>
  <si>
    <t>Арендная плата за пользование имуществом</t>
  </si>
  <si>
    <t>992 0113 0920306 240 224</t>
  </si>
  <si>
    <t>992 0113 0920306 240 225</t>
  </si>
  <si>
    <t>992 0113 0920306 240 226</t>
  </si>
  <si>
    <t>992 0113 0920306 240 290</t>
  </si>
  <si>
    <t>992 0113 0920306 240 340</t>
  </si>
  <si>
    <t>992 0113 7950107 351 290</t>
  </si>
  <si>
    <t>992 0309 2180100 240 226</t>
  </si>
  <si>
    <t>992 0309 2190100 240 226</t>
  </si>
  <si>
    <t>992 0310 2479900 240 310</t>
  </si>
  <si>
    <t>992 0310 2479900 240 340</t>
  </si>
  <si>
    <t>992 0314 2470000 240 340</t>
  </si>
  <si>
    <t>992 0405 7950119 240 340</t>
  </si>
  <si>
    <t>992 0406 2800100 240 226</t>
  </si>
  <si>
    <t>992 0407 2920200 240 226</t>
  </si>
  <si>
    <t>992 0409 5241501 240 225</t>
  </si>
  <si>
    <t>992 0409 7954200 240 225</t>
  </si>
  <si>
    <t>992 0409 7954200 240 226</t>
  </si>
  <si>
    <t>992 0409 7954200 240 310</t>
  </si>
  <si>
    <t>992 0409 7954200 240 340</t>
  </si>
  <si>
    <t>992 0412 5243400 240 226</t>
  </si>
  <si>
    <t>992 0412 7950134 240 226</t>
  </si>
  <si>
    <t>992 0501 8500300 240 225</t>
  </si>
  <si>
    <t>992 0502 1001113 411 310</t>
  </si>
  <si>
    <t>992 0502 1001113 413 310</t>
  </si>
  <si>
    <t>992 0502 1001199 411 310</t>
  </si>
  <si>
    <t>992 0502 7950128 240 226</t>
  </si>
  <si>
    <t>992 0502 7950130 240 226</t>
  </si>
  <si>
    <t>992 0502 7950130 411 310</t>
  </si>
  <si>
    <t>992 0502 7950168 240 225</t>
  </si>
  <si>
    <t>992 0502 7950168 411 310</t>
  </si>
  <si>
    <t>992 0502 8510500 240 225</t>
  </si>
  <si>
    <t>992 0503 5226900 240 225</t>
  </si>
  <si>
    <t>992 0503 6000100 240 223</t>
  </si>
  <si>
    <t>992 0503 6000100 240 225</t>
  </si>
  <si>
    <t>992 0503 6000100 240 226</t>
  </si>
  <si>
    <t>992 0503 6000100 240 340</t>
  </si>
  <si>
    <t>992 0503 6000300 240 225</t>
  </si>
  <si>
    <t>992 0503 6000300 240 340</t>
  </si>
  <si>
    <t>Оплата работ, услуг</t>
  </si>
  <si>
    <t>992 0503 6000400 240 220</t>
  </si>
  <si>
    <t>992 0503 6000400 240 225</t>
  </si>
  <si>
    <t>992 0503 6000400 240 310</t>
  </si>
  <si>
    <t>Транспортные услуги</t>
  </si>
  <si>
    <t>992 0503 6000500 240 222</t>
  </si>
  <si>
    <t>992 0503 6000500 240 223</t>
  </si>
  <si>
    <t>992 0503 6000500 240 224</t>
  </si>
  <si>
    <t>992 0503 6000500 240 225</t>
  </si>
  <si>
    <t>992 0503 6000500 240 226</t>
  </si>
  <si>
    <t>992 0503 6000500 240 310</t>
  </si>
  <si>
    <t>992 0503 6000500 240 340</t>
  </si>
  <si>
    <t>Безвозмездные перечисления государственным и муниципальным организациям</t>
  </si>
  <si>
    <t>992 0503 6000500 621 241</t>
  </si>
  <si>
    <t>992 0503 7954400 240 225</t>
  </si>
  <si>
    <t>992 0503 7954400 240 226</t>
  </si>
  <si>
    <t>992 0707 4310100 621 241</t>
  </si>
  <si>
    <t>992 0707 7950126 621 241</t>
  </si>
  <si>
    <t>992 0801 4409901 621 241</t>
  </si>
  <si>
    <t>992 0801 4409911 622 241</t>
  </si>
  <si>
    <t>992 0801 4419901 621 241</t>
  </si>
  <si>
    <t>992 0801 4419906 622 241</t>
  </si>
  <si>
    <t>992 0801 4419911 622 241</t>
  </si>
  <si>
    <t>992 0801 5223804 622 241</t>
  </si>
  <si>
    <t>992 0801 7950138 622 241</t>
  </si>
  <si>
    <t>992 1003 7950111 321 290</t>
  </si>
  <si>
    <t>992 1003 7950111 323 226</t>
  </si>
  <si>
    <t>992 1003 7950111 323 290</t>
  </si>
  <si>
    <t>Пособия по социальной помощи населению</t>
  </si>
  <si>
    <t>992 1003 7950115 321 262</t>
  </si>
  <si>
    <t>992 1003 7950115 323 226</t>
  </si>
  <si>
    <t>992 1003 7950164 322 262</t>
  </si>
  <si>
    <t>992 1101 5129700 621 241</t>
  </si>
  <si>
    <t>992 1102 5242300 622 241</t>
  </si>
  <si>
    <t>992 1102 7950123 622 241</t>
  </si>
  <si>
    <t>Обслуживание внутреннего долга</t>
  </si>
  <si>
    <t>992 1301 0650300 710 231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</si>
  <si>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</si>
  <si>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</si>
  <si>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</si>
  <si>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</si>
  <si>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</si>
  <si>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</si>
  <si>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</si>
  <si>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</si>
  <si>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</si>
  <si>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</si>
  <si>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992 01030100 10 0000 710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</si>
  <si>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</si>
  <si>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</si>
  <si>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</si>
  <si>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</si>
  <si>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</si>
  <si>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</si>
  <si>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</si>
  <si>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</si>
  <si>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</si>
  <si>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</si>
  <si>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</si>
  <si>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</si>
  <si>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</si>
  <si>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Форма 0503117 с.1</t>
  </si>
  <si>
    <t xml:space="preserve">   9 сентября 2013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</si>
</sst>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5" xfId="0" applyNumberFormat="1" applyAlignment="1">
      <alignment horizontal="center" vertical="center" wrapText="1"/>
    </xf>
    <xf numFmtId="0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4" fontId="5" fillId="2" borderId="18" xfId="0" applyNumberFormat="1" applyAlignment="1">
      <alignment horizontal="right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19" xfId="0" applyNumberFormat="1" applyAlignment="1">
      <alignment horizontal="right" vertical="center" wrapText="1"/>
    </xf>
    <xf numFmtId="4" fontId="5" fillId="2" borderId="2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7" fillId="2" borderId="21" xfId="0" applyNumberFormat="1" applyAlignment="1">
      <alignment horizontal="center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6" fillId="2" borderId="22" xfId="0" applyNumberFormat="1" applyAlignment="1">
      <alignment horizontal="left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3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24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24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6" xfId="0" applyNumberFormat="1" applyAlignment="1">
      <alignment horizontal="center" vertical="center" wrapText="1"/>
    </xf>
    <xf numFmtId="4" fontId="5" fillId="2" borderId="27" xfId="0" applyNumberFormat="1" applyAlignment="1">
      <alignment horizontal="right" vertical="center" wrapText="1"/>
    </xf>
    <xf numFmtId="0" fontId="5" fillId="2" borderId="15" xfId="0" applyNumberFormat="1" applyAlignment="1">
      <alignment horizontal="left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0" fontId="9" fillId="2" borderId="0" xfId="0" applyNumberFormat="1" applyFont="1" applyAlignment="1">
      <alignment horizontal="left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workbookViewId="0" topLeftCell="A1">
      <selection activeCell="A143" sqref="A143:O14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" t="s">
        <v>1</v>
      </c>
    </row>
    <row r="2" spans="1:15" s="1" customFormat="1" ht="13.5" customHeight="1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 t="s">
        <v>3</v>
      </c>
    </row>
    <row r="3" spans="1:15" s="1" customFormat="1" ht="13.5" customHeight="1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 t="s">
        <v>5</v>
      </c>
      <c r="N3" s="34"/>
      <c r="O3" s="4">
        <v>41518</v>
      </c>
    </row>
    <row r="4" spans="1:15" s="1" customFormat="1" ht="13.5" customHeight="1">
      <c r="A4" s="35" t="s">
        <v>6</v>
      </c>
      <c r="B4" s="35"/>
      <c r="C4" s="35"/>
      <c r="D4" s="36" t="s">
        <v>7</v>
      </c>
      <c r="E4" s="36"/>
      <c r="F4" s="36"/>
      <c r="G4" s="36"/>
      <c r="H4" s="36"/>
      <c r="I4" s="36"/>
      <c r="J4" s="36"/>
      <c r="K4" s="36"/>
      <c r="L4" s="34" t="s">
        <v>8</v>
      </c>
      <c r="M4" s="34"/>
      <c r="N4" s="34"/>
      <c r="O4" s="6" t="s">
        <v>10</v>
      </c>
    </row>
    <row r="5" spans="1:15" s="1" customFormat="1" ht="13.5" customHeight="1">
      <c r="A5" s="35"/>
      <c r="B5" s="35"/>
      <c r="C5" s="35"/>
      <c r="D5" s="36"/>
      <c r="E5" s="36"/>
      <c r="F5" s="36"/>
      <c r="G5" s="36"/>
      <c r="H5" s="36"/>
      <c r="I5" s="36"/>
      <c r="J5" s="36"/>
      <c r="K5" s="36"/>
      <c r="L5" s="34" t="s">
        <v>9</v>
      </c>
      <c r="M5" s="34"/>
      <c r="N5" s="34"/>
      <c r="O5" s="6" t="s">
        <v>10</v>
      </c>
    </row>
    <row r="6" spans="1:15" s="1" customFormat="1" ht="13.5" customHeight="1">
      <c r="A6" s="35" t="s">
        <v>11</v>
      </c>
      <c r="B6" s="35"/>
      <c r="C6" s="35"/>
      <c r="D6" s="35"/>
      <c r="E6" s="36" t="s">
        <v>12</v>
      </c>
      <c r="F6" s="36"/>
      <c r="G6" s="36"/>
      <c r="H6" s="36"/>
      <c r="I6" s="36"/>
      <c r="J6" s="36"/>
      <c r="K6" s="36"/>
      <c r="L6" s="34" t="s">
        <v>13</v>
      </c>
      <c r="M6" s="34"/>
      <c r="N6" s="34"/>
      <c r="O6" s="6" t="s">
        <v>10</v>
      </c>
    </row>
    <row r="7" spans="1:15" s="1" customFormat="1" ht="13.5" customHeight="1">
      <c r="A7" s="5" t="s">
        <v>14</v>
      </c>
      <c r="B7" s="35" t="s">
        <v>15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6" t="s">
        <v>10</v>
      </c>
    </row>
    <row r="8" spans="1:15" s="1" customFormat="1" ht="13.5" customHeight="1">
      <c r="A8" s="35" t="s">
        <v>16</v>
      </c>
      <c r="B8" s="35"/>
      <c r="C8" s="35" t="s">
        <v>17</v>
      </c>
      <c r="D8" s="35"/>
      <c r="E8" s="35"/>
      <c r="F8" s="35"/>
      <c r="G8" s="35"/>
      <c r="H8" s="35"/>
      <c r="I8" s="35"/>
      <c r="J8" s="35"/>
      <c r="K8" s="34" t="s">
        <v>18</v>
      </c>
      <c r="L8" s="34"/>
      <c r="M8" s="34"/>
      <c r="N8" s="34"/>
      <c r="O8" s="7" t="s">
        <v>19</v>
      </c>
    </row>
    <row r="9" spans="1:15" s="1" customFormat="1" ht="13.5" customHeight="1">
      <c r="A9" s="37" t="s">
        <v>20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s="1" customFormat="1" ht="34.5" customHeight="1">
      <c r="A10" s="38" t="s">
        <v>21</v>
      </c>
      <c r="B10" s="38"/>
      <c r="C10" s="38"/>
      <c r="D10" s="38"/>
      <c r="E10" s="38"/>
      <c r="F10" s="38"/>
      <c r="G10" s="8" t="s">
        <v>22</v>
      </c>
      <c r="H10" s="8" t="s">
        <v>23</v>
      </c>
      <c r="I10" s="9" t="s">
        <v>24</v>
      </c>
      <c r="J10" s="39" t="s">
        <v>25</v>
      </c>
      <c r="K10" s="39"/>
      <c r="L10" s="39"/>
      <c r="M10" s="39"/>
      <c r="N10" s="40" t="s">
        <v>26</v>
      </c>
      <c r="O10" s="40"/>
    </row>
    <row r="11" spans="1:15" s="1" customFormat="1" ht="12.75" customHeight="1">
      <c r="A11" s="41" t="s">
        <v>27</v>
      </c>
      <c r="B11" s="41"/>
      <c r="C11" s="41"/>
      <c r="D11" s="41"/>
      <c r="E11" s="41"/>
      <c r="F11" s="41"/>
      <c r="G11" s="10" t="s">
        <v>28</v>
      </c>
      <c r="H11" s="10" t="s">
        <v>29</v>
      </c>
      <c r="I11" s="11" t="s">
        <v>30</v>
      </c>
      <c r="J11" s="42" t="s">
        <v>31</v>
      </c>
      <c r="K11" s="42"/>
      <c r="L11" s="42"/>
      <c r="M11" s="42"/>
      <c r="N11" s="43" t="s">
        <v>32</v>
      </c>
      <c r="O11" s="43"/>
    </row>
    <row r="12" spans="1:15" s="1" customFormat="1" ht="13.5" customHeight="1">
      <c r="A12" s="44" t="s">
        <v>33</v>
      </c>
      <c r="B12" s="44"/>
      <c r="C12" s="44"/>
      <c r="D12" s="44"/>
      <c r="E12" s="44"/>
      <c r="F12" s="44"/>
      <c r="G12" s="12" t="s">
        <v>34</v>
      </c>
      <c r="H12" s="12" t="s">
        <v>35</v>
      </c>
      <c r="I12" s="13">
        <f>65805238.87</f>
        <v>65805238.87</v>
      </c>
      <c r="J12" s="45">
        <f>39685405.65</f>
        <v>39685405.65</v>
      </c>
      <c r="K12" s="45"/>
      <c r="L12" s="45"/>
      <c r="M12" s="45"/>
      <c r="N12" s="46">
        <f>26119833.22</f>
        <v>26119833.22</v>
      </c>
      <c r="O12" s="46"/>
    </row>
    <row r="13" spans="1:15" s="1" customFormat="1" ht="45" customHeight="1">
      <c r="A13" s="47" t="s">
        <v>36</v>
      </c>
      <c r="B13" s="47"/>
      <c r="C13" s="47"/>
      <c r="D13" s="47"/>
      <c r="E13" s="47"/>
      <c r="F13" s="47"/>
      <c r="G13" s="14" t="s">
        <v>34</v>
      </c>
      <c r="H13" s="14" t="s">
        <v>37</v>
      </c>
      <c r="I13" s="15">
        <f>19313000</f>
        <v>19313000</v>
      </c>
      <c r="J13" s="48">
        <f>12756381.33</f>
        <v>12756381.33</v>
      </c>
      <c r="K13" s="48"/>
      <c r="L13" s="48"/>
      <c r="M13" s="48"/>
      <c r="N13" s="28">
        <f>6556618.67</f>
        <v>6556618.67</v>
      </c>
      <c r="O13" s="28"/>
    </row>
    <row r="14" spans="1:15" s="1" customFormat="1" ht="66" customHeight="1">
      <c r="A14" s="47" t="s">
        <v>38</v>
      </c>
      <c r="B14" s="47"/>
      <c r="C14" s="47"/>
      <c r="D14" s="47"/>
      <c r="E14" s="47"/>
      <c r="F14" s="47"/>
      <c r="G14" s="14" t="s">
        <v>34</v>
      </c>
      <c r="H14" s="14" t="s">
        <v>39</v>
      </c>
      <c r="I14" s="16" t="s">
        <v>40</v>
      </c>
      <c r="J14" s="48">
        <f>138166.32</f>
        <v>138166.32</v>
      </c>
      <c r="K14" s="48"/>
      <c r="L14" s="48"/>
      <c r="M14" s="48"/>
      <c r="N14" s="28">
        <f>0</f>
        <v>0</v>
      </c>
      <c r="O14" s="28"/>
    </row>
    <row r="15" spans="1:15" s="1" customFormat="1" ht="24" customHeight="1">
      <c r="A15" s="47" t="s">
        <v>41</v>
      </c>
      <c r="B15" s="47"/>
      <c r="C15" s="47"/>
      <c r="D15" s="47"/>
      <c r="E15" s="47"/>
      <c r="F15" s="47"/>
      <c r="G15" s="14" t="s">
        <v>34</v>
      </c>
      <c r="H15" s="14" t="s">
        <v>42</v>
      </c>
      <c r="I15" s="16" t="s">
        <v>40</v>
      </c>
      <c r="J15" s="48">
        <f>96809.01</f>
        <v>96809.01</v>
      </c>
      <c r="K15" s="48"/>
      <c r="L15" s="48"/>
      <c r="M15" s="48"/>
      <c r="N15" s="28">
        <f>0</f>
        <v>0</v>
      </c>
      <c r="O15" s="28"/>
    </row>
    <row r="16" spans="1:15" s="1" customFormat="1" ht="54.75" customHeight="1">
      <c r="A16" s="47" t="s">
        <v>43</v>
      </c>
      <c r="B16" s="47"/>
      <c r="C16" s="47"/>
      <c r="D16" s="47"/>
      <c r="E16" s="47"/>
      <c r="F16" s="47"/>
      <c r="G16" s="14" t="s">
        <v>34</v>
      </c>
      <c r="H16" s="14" t="s">
        <v>44</v>
      </c>
      <c r="I16" s="16" t="s">
        <v>40</v>
      </c>
      <c r="J16" s="48">
        <f>4800.95</f>
        <v>4800.95</v>
      </c>
      <c r="K16" s="48"/>
      <c r="L16" s="48"/>
      <c r="M16" s="48"/>
      <c r="N16" s="28">
        <f>0</f>
        <v>0</v>
      </c>
      <c r="O16" s="28"/>
    </row>
    <row r="17" spans="1:15" s="1" customFormat="1" ht="13.5" customHeight="1">
      <c r="A17" s="47" t="s">
        <v>45</v>
      </c>
      <c r="B17" s="47"/>
      <c r="C17" s="47"/>
      <c r="D17" s="47"/>
      <c r="E17" s="47"/>
      <c r="F17" s="47"/>
      <c r="G17" s="14" t="s">
        <v>34</v>
      </c>
      <c r="H17" s="14" t="s">
        <v>46</v>
      </c>
      <c r="I17" s="15">
        <f>1440000</f>
        <v>1440000</v>
      </c>
      <c r="J17" s="48">
        <f>1629735.82</f>
        <v>1629735.82</v>
      </c>
      <c r="K17" s="48"/>
      <c r="L17" s="48"/>
      <c r="M17" s="48"/>
      <c r="N17" s="28">
        <f>-189735.82</f>
        <v>-189735.82</v>
      </c>
      <c r="O17" s="28"/>
    </row>
    <row r="18" spans="1:15" s="1" customFormat="1" ht="24" customHeight="1">
      <c r="A18" s="47" t="s">
        <v>47</v>
      </c>
      <c r="B18" s="47"/>
      <c r="C18" s="47"/>
      <c r="D18" s="47"/>
      <c r="E18" s="47"/>
      <c r="F18" s="47"/>
      <c r="G18" s="14" t="s">
        <v>34</v>
      </c>
      <c r="H18" s="14" t="s">
        <v>48</v>
      </c>
      <c r="I18" s="16" t="s">
        <v>40</v>
      </c>
      <c r="J18" s="48">
        <f>9.38</f>
        <v>9.38</v>
      </c>
      <c r="K18" s="48"/>
      <c r="L18" s="48"/>
      <c r="M18" s="48"/>
      <c r="N18" s="28">
        <f>0</f>
        <v>0</v>
      </c>
      <c r="O18" s="28"/>
    </row>
    <row r="19" spans="1:15" s="1" customFormat="1" ht="24" customHeight="1">
      <c r="A19" s="47" t="s">
        <v>49</v>
      </c>
      <c r="B19" s="47"/>
      <c r="C19" s="47"/>
      <c r="D19" s="47"/>
      <c r="E19" s="47"/>
      <c r="F19" s="47"/>
      <c r="G19" s="14" t="s">
        <v>34</v>
      </c>
      <c r="H19" s="14" t="s">
        <v>50</v>
      </c>
      <c r="I19" s="15">
        <f>2000000</f>
        <v>2000000</v>
      </c>
      <c r="J19" s="48">
        <f>721630.55</f>
        <v>721630.55</v>
      </c>
      <c r="K19" s="48"/>
      <c r="L19" s="48"/>
      <c r="M19" s="48"/>
      <c r="N19" s="28">
        <f>1278369.45</f>
        <v>1278369.45</v>
      </c>
      <c r="O19" s="28"/>
    </row>
    <row r="20" spans="1:15" s="1" customFormat="1" ht="45" customHeight="1">
      <c r="A20" s="47" t="s">
        <v>51</v>
      </c>
      <c r="B20" s="47"/>
      <c r="C20" s="47"/>
      <c r="D20" s="47"/>
      <c r="E20" s="47"/>
      <c r="F20" s="47"/>
      <c r="G20" s="14" t="s">
        <v>34</v>
      </c>
      <c r="H20" s="14" t="s">
        <v>52</v>
      </c>
      <c r="I20" s="15">
        <f>2166400</f>
        <v>2166400</v>
      </c>
      <c r="J20" s="48">
        <f>3937229.33</f>
        <v>3937229.33</v>
      </c>
      <c r="K20" s="48"/>
      <c r="L20" s="48"/>
      <c r="M20" s="48"/>
      <c r="N20" s="28">
        <f>-1770829.33</f>
        <v>-1770829.33</v>
      </c>
      <c r="O20" s="28"/>
    </row>
    <row r="21" spans="1:15" s="1" customFormat="1" ht="45" customHeight="1">
      <c r="A21" s="47" t="s">
        <v>53</v>
      </c>
      <c r="B21" s="47"/>
      <c r="C21" s="47"/>
      <c r="D21" s="47"/>
      <c r="E21" s="47"/>
      <c r="F21" s="47"/>
      <c r="G21" s="14" t="s">
        <v>34</v>
      </c>
      <c r="H21" s="14" t="s">
        <v>54</v>
      </c>
      <c r="I21" s="15">
        <f>8665600</f>
        <v>8665600</v>
      </c>
      <c r="J21" s="48">
        <f>1347767.76</f>
        <v>1347767.76</v>
      </c>
      <c r="K21" s="48"/>
      <c r="L21" s="48"/>
      <c r="M21" s="48"/>
      <c r="N21" s="28">
        <f>7317832.24</f>
        <v>7317832.24</v>
      </c>
      <c r="O21" s="28"/>
    </row>
    <row r="22" spans="1:15" s="1" customFormat="1" ht="24" customHeight="1">
      <c r="A22" s="47" t="s">
        <v>55</v>
      </c>
      <c r="B22" s="47"/>
      <c r="C22" s="47"/>
      <c r="D22" s="47"/>
      <c r="E22" s="47"/>
      <c r="F22" s="47"/>
      <c r="G22" s="14" t="s">
        <v>34</v>
      </c>
      <c r="H22" s="14" t="s">
        <v>56</v>
      </c>
      <c r="I22" s="16" t="s">
        <v>40</v>
      </c>
      <c r="J22" s="48">
        <f>20.27</f>
        <v>20.27</v>
      </c>
      <c r="K22" s="48"/>
      <c r="L22" s="48"/>
      <c r="M22" s="48"/>
      <c r="N22" s="28">
        <f>0</f>
        <v>0</v>
      </c>
      <c r="O22" s="28"/>
    </row>
    <row r="23" spans="1:15" s="1" customFormat="1" ht="45" customHeight="1">
      <c r="A23" s="47" t="s">
        <v>57</v>
      </c>
      <c r="B23" s="47"/>
      <c r="C23" s="47"/>
      <c r="D23" s="47"/>
      <c r="E23" s="47"/>
      <c r="F23" s="47"/>
      <c r="G23" s="14" t="s">
        <v>34</v>
      </c>
      <c r="H23" s="14" t="s">
        <v>58</v>
      </c>
      <c r="I23" s="15">
        <f>4460000</f>
        <v>4460000</v>
      </c>
      <c r="J23" s="48">
        <f>3949550.75</f>
        <v>3949550.75</v>
      </c>
      <c r="K23" s="48"/>
      <c r="L23" s="48"/>
      <c r="M23" s="48"/>
      <c r="N23" s="28">
        <f>510449.25</f>
        <v>510449.25</v>
      </c>
      <c r="O23" s="28"/>
    </row>
    <row r="24" spans="1:15" s="1" customFormat="1" ht="24" customHeight="1">
      <c r="A24" s="47" t="s">
        <v>59</v>
      </c>
      <c r="B24" s="47"/>
      <c r="C24" s="47"/>
      <c r="D24" s="47"/>
      <c r="E24" s="47"/>
      <c r="F24" s="47"/>
      <c r="G24" s="14" t="s">
        <v>34</v>
      </c>
      <c r="H24" s="14" t="s">
        <v>60</v>
      </c>
      <c r="I24" s="15">
        <f>300000</f>
        <v>300000</v>
      </c>
      <c r="J24" s="48">
        <f>351765.96</f>
        <v>351765.96</v>
      </c>
      <c r="K24" s="48"/>
      <c r="L24" s="48"/>
      <c r="M24" s="48"/>
      <c r="N24" s="28">
        <f>-51765.96</f>
        <v>-51765.96</v>
      </c>
      <c r="O24" s="28"/>
    </row>
    <row r="25" spans="1:15" s="1" customFormat="1" ht="33.75" customHeight="1">
      <c r="A25" s="47" t="s">
        <v>61</v>
      </c>
      <c r="B25" s="47"/>
      <c r="C25" s="47"/>
      <c r="D25" s="47"/>
      <c r="E25" s="47"/>
      <c r="F25" s="47"/>
      <c r="G25" s="14" t="s">
        <v>34</v>
      </c>
      <c r="H25" s="14" t="s">
        <v>62</v>
      </c>
      <c r="I25" s="15">
        <f>10000</f>
        <v>10000</v>
      </c>
      <c r="J25" s="48">
        <f>5069.57</f>
        <v>5069.57</v>
      </c>
      <c r="K25" s="48"/>
      <c r="L25" s="48"/>
      <c r="M25" s="48"/>
      <c r="N25" s="28">
        <f>4930.43</f>
        <v>4930.43</v>
      </c>
      <c r="O25" s="28"/>
    </row>
    <row r="26" spans="1:15" s="1" customFormat="1" ht="13.5" customHeight="1">
      <c r="A26" s="47" t="s">
        <v>63</v>
      </c>
      <c r="B26" s="47"/>
      <c r="C26" s="47"/>
      <c r="D26" s="47"/>
      <c r="E26" s="47"/>
      <c r="F26" s="47"/>
      <c r="G26" s="14" t="s">
        <v>34</v>
      </c>
      <c r="H26" s="14" t="s">
        <v>64</v>
      </c>
      <c r="I26" s="16" t="s">
        <v>40</v>
      </c>
      <c r="J26" s="48">
        <f>17465.76</f>
        <v>17465.76</v>
      </c>
      <c r="K26" s="48"/>
      <c r="L26" s="48"/>
      <c r="M26" s="48"/>
      <c r="N26" s="28">
        <f>0</f>
        <v>0</v>
      </c>
      <c r="O26" s="28"/>
    </row>
    <row r="27" spans="1:15" s="1" customFormat="1" ht="24" customHeight="1">
      <c r="A27" s="47" t="s">
        <v>65</v>
      </c>
      <c r="B27" s="47"/>
      <c r="C27" s="47"/>
      <c r="D27" s="47"/>
      <c r="E27" s="47"/>
      <c r="F27" s="47"/>
      <c r="G27" s="14" t="s">
        <v>34</v>
      </c>
      <c r="H27" s="14" t="s">
        <v>66</v>
      </c>
      <c r="I27" s="15">
        <f>607800</f>
        <v>607800</v>
      </c>
      <c r="J27" s="29" t="s">
        <v>40</v>
      </c>
      <c r="K27" s="29"/>
      <c r="L27" s="29"/>
      <c r="M27" s="29"/>
      <c r="N27" s="28">
        <f>607800</f>
        <v>607800</v>
      </c>
      <c r="O27" s="28"/>
    </row>
    <row r="28" spans="1:15" s="1" customFormat="1" ht="24" customHeight="1">
      <c r="A28" s="47" t="s">
        <v>67</v>
      </c>
      <c r="B28" s="47"/>
      <c r="C28" s="47"/>
      <c r="D28" s="47"/>
      <c r="E28" s="47"/>
      <c r="F28" s="47"/>
      <c r="G28" s="14" t="s">
        <v>34</v>
      </c>
      <c r="H28" s="14" t="s">
        <v>68</v>
      </c>
      <c r="I28" s="15">
        <f>3485000</f>
        <v>3485000</v>
      </c>
      <c r="J28" s="48">
        <f>3195216.55</f>
        <v>3195216.55</v>
      </c>
      <c r="K28" s="48"/>
      <c r="L28" s="48"/>
      <c r="M28" s="48"/>
      <c r="N28" s="28">
        <f>289783.45</f>
        <v>289783.45</v>
      </c>
      <c r="O28" s="28"/>
    </row>
    <row r="29" spans="1:15" s="1" customFormat="1" ht="13.5" customHeight="1">
      <c r="A29" s="47" t="s">
        <v>69</v>
      </c>
      <c r="B29" s="47"/>
      <c r="C29" s="47"/>
      <c r="D29" s="47"/>
      <c r="E29" s="47"/>
      <c r="F29" s="47"/>
      <c r="G29" s="14" t="s">
        <v>34</v>
      </c>
      <c r="H29" s="14" t="s">
        <v>70</v>
      </c>
      <c r="I29" s="15">
        <f>21899500</f>
        <v>21899500</v>
      </c>
      <c r="J29" s="48">
        <f>10247227.06</f>
        <v>10247227.06</v>
      </c>
      <c r="K29" s="48"/>
      <c r="L29" s="48"/>
      <c r="M29" s="48"/>
      <c r="N29" s="28">
        <f>11652272.94</f>
        <v>11652272.94</v>
      </c>
      <c r="O29" s="28"/>
    </row>
    <row r="30" spans="1:15" s="1" customFormat="1" ht="24" customHeight="1">
      <c r="A30" s="47" t="s">
        <v>71</v>
      </c>
      <c r="B30" s="47"/>
      <c r="C30" s="47"/>
      <c r="D30" s="47"/>
      <c r="E30" s="47"/>
      <c r="F30" s="47"/>
      <c r="G30" s="14" t="s">
        <v>34</v>
      </c>
      <c r="H30" s="14" t="s">
        <v>72</v>
      </c>
      <c r="I30" s="15">
        <f>7334</f>
        <v>7334</v>
      </c>
      <c r="J30" s="48">
        <f>4888</f>
        <v>4888</v>
      </c>
      <c r="K30" s="48"/>
      <c r="L30" s="48"/>
      <c r="M30" s="48"/>
      <c r="N30" s="28">
        <f>2446</f>
        <v>2446</v>
      </c>
      <c r="O30" s="28"/>
    </row>
    <row r="31" spans="1:15" s="1" customFormat="1" ht="13.5" customHeight="1">
      <c r="A31" s="47" t="s">
        <v>73</v>
      </c>
      <c r="B31" s="47"/>
      <c r="C31" s="47"/>
      <c r="D31" s="47"/>
      <c r="E31" s="47"/>
      <c r="F31" s="47"/>
      <c r="G31" s="14" t="s">
        <v>34</v>
      </c>
      <c r="H31" s="14" t="s">
        <v>74</v>
      </c>
      <c r="I31" s="15">
        <f>1600000</f>
        <v>1600000</v>
      </c>
      <c r="J31" s="48">
        <f>1431066.41</f>
        <v>1431066.41</v>
      </c>
      <c r="K31" s="48"/>
      <c r="L31" s="48"/>
      <c r="M31" s="48"/>
      <c r="N31" s="28">
        <f>168933.59</f>
        <v>168933.59</v>
      </c>
      <c r="O31" s="28"/>
    </row>
    <row r="32" spans="1:15" s="1" customFormat="1" ht="54.75" customHeight="1">
      <c r="A32" s="47" t="s">
        <v>75</v>
      </c>
      <c r="B32" s="47"/>
      <c r="C32" s="47"/>
      <c r="D32" s="47"/>
      <c r="E32" s="47"/>
      <c r="F32" s="47"/>
      <c r="G32" s="14" t="s">
        <v>34</v>
      </c>
      <c r="H32" s="14" t="s">
        <v>76</v>
      </c>
      <c r="I32" s="16" t="s">
        <v>40</v>
      </c>
      <c r="J32" s="48">
        <f>0</f>
        <v>0</v>
      </c>
      <c r="K32" s="48"/>
      <c r="L32" s="48"/>
      <c r="M32" s="48"/>
      <c r="N32" s="28">
        <f>0</f>
        <v>0</v>
      </c>
      <c r="O32" s="28"/>
    </row>
    <row r="33" spans="1:15" s="1" customFormat="1" ht="24" customHeight="1">
      <c r="A33" s="47" t="s">
        <v>77</v>
      </c>
      <c r="B33" s="47"/>
      <c r="C33" s="47"/>
      <c r="D33" s="47"/>
      <c r="E33" s="47"/>
      <c r="F33" s="47"/>
      <c r="G33" s="14" t="s">
        <v>34</v>
      </c>
      <c r="H33" s="14" t="s">
        <v>78</v>
      </c>
      <c r="I33" s="15">
        <f>-149395.13</f>
        <v>-149395.13</v>
      </c>
      <c r="J33" s="48">
        <f>-149395.13</f>
        <v>-149395.13</v>
      </c>
      <c r="K33" s="48"/>
      <c r="L33" s="48"/>
      <c r="M33" s="48"/>
      <c r="N33" s="28">
        <f>0</f>
        <v>0</v>
      </c>
      <c r="O33" s="28"/>
    </row>
    <row r="34" spans="1:15" s="1" customFormat="1" ht="13.5" customHeight="1">
      <c r="A34" s="30" t="s">
        <v>10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s="1" customFormat="1" ht="13.5" customHeight="1">
      <c r="A35" s="37" t="s">
        <v>79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s="1" customFormat="1" ht="34.5" customHeight="1">
      <c r="A36" s="38" t="s">
        <v>21</v>
      </c>
      <c r="B36" s="38"/>
      <c r="C36" s="38"/>
      <c r="D36" s="38"/>
      <c r="E36" s="38"/>
      <c r="F36" s="38"/>
      <c r="G36" s="8" t="s">
        <v>22</v>
      </c>
      <c r="H36" s="8" t="s">
        <v>80</v>
      </c>
      <c r="I36" s="9" t="s">
        <v>24</v>
      </c>
      <c r="J36" s="39" t="s">
        <v>25</v>
      </c>
      <c r="K36" s="39"/>
      <c r="L36" s="39"/>
      <c r="M36" s="39"/>
      <c r="N36" s="40" t="s">
        <v>26</v>
      </c>
      <c r="O36" s="40"/>
    </row>
    <row r="37" spans="1:15" s="1" customFormat="1" ht="13.5" customHeight="1">
      <c r="A37" s="41" t="s">
        <v>27</v>
      </c>
      <c r="B37" s="41"/>
      <c r="C37" s="41"/>
      <c r="D37" s="41"/>
      <c r="E37" s="41"/>
      <c r="F37" s="41"/>
      <c r="G37" s="10" t="s">
        <v>28</v>
      </c>
      <c r="H37" s="10" t="s">
        <v>29</v>
      </c>
      <c r="I37" s="11" t="s">
        <v>30</v>
      </c>
      <c r="J37" s="42" t="s">
        <v>31</v>
      </c>
      <c r="K37" s="42"/>
      <c r="L37" s="42"/>
      <c r="M37" s="42"/>
      <c r="N37" s="43" t="s">
        <v>32</v>
      </c>
      <c r="O37" s="43"/>
    </row>
    <row r="38" spans="1:15" s="1" customFormat="1" ht="13.5" customHeight="1">
      <c r="A38" s="44" t="s">
        <v>81</v>
      </c>
      <c r="B38" s="44"/>
      <c r="C38" s="44"/>
      <c r="D38" s="44"/>
      <c r="E38" s="44"/>
      <c r="F38" s="44"/>
      <c r="G38" s="12" t="s">
        <v>82</v>
      </c>
      <c r="H38" s="12" t="s">
        <v>35</v>
      </c>
      <c r="I38" s="13">
        <f>82190126.43</f>
        <v>82190126.43</v>
      </c>
      <c r="J38" s="45">
        <f>38818941.56</f>
        <v>38818941.56</v>
      </c>
      <c r="K38" s="45"/>
      <c r="L38" s="45"/>
      <c r="M38" s="45"/>
      <c r="N38" s="46">
        <f>43371184.87</f>
        <v>43371184.87</v>
      </c>
      <c r="O38" s="46"/>
    </row>
    <row r="39" spans="1:15" s="1" customFormat="1" ht="13.5" customHeight="1">
      <c r="A39" s="31" t="s">
        <v>83</v>
      </c>
      <c r="B39" s="31"/>
      <c r="C39" s="31"/>
      <c r="D39" s="31"/>
      <c r="E39" s="31"/>
      <c r="F39" s="31"/>
      <c r="G39" s="17" t="s">
        <v>82</v>
      </c>
      <c r="H39" s="17" t="s">
        <v>84</v>
      </c>
      <c r="I39" s="18">
        <f>566080</f>
        <v>566080</v>
      </c>
      <c r="J39" s="32">
        <f>371654.51</f>
        <v>371654.51</v>
      </c>
      <c r="K39" s="32"/>
      <c r="L39" s="32"/>
      <c r="M39" s="32"/>
      <c r="N39" s="49">
        <f>194425.49</f>
        <v>194425.49</v>
      </c>
      <c r="O39" s="49"/>
    </row>
    <row r="40" spans="1:15" s="1" customFormat="1" ht="13.5" customHeight="1">
      <c r="A40" s="31" t="s">
        <v>85</v>
      </c>
      <c r="B40" s="31"/>
      <c r="C40" s="31"/>
      <c r="D40" s="31"/>
      <c r="E40" s="31"/>
      <c r="F40" s="31"/>
      <c r="G40" s="17" t="s">
        <v>82</v>
      </c>
      <c r="H40" s="17" t="s">
        <v>86</v>
      </c>
      <c r="I40" s="18">
        <f>193600</f>
        <v>193600</v>
      </c>
      <c r="J40" s="32">
        <f>102250.29</f>
        <v>102250.29</v>
      </c>
      <c r="K40" s="32"/>
      <c r="L40" s="32"/>
      <c r="M40" s="32"/>
      <c r="N40" s="49">
        <f>91349.71</f>
        <v>91349.71</v>
      </c>
      <c r="O40" s="49"/>
    </row>
    <row r="41" spans="1:15" s="1" customFormat="1" ht="13.5" customHeight="1">
      <c r="A41" s="31" t="s">
        <v>83</v>
      </c>
      <c r="B41" s="31"/>
      <c r="C41" s="31"/>
      <c r="D41" s="31"/>
      <c r="E41" s="31"/>
      <c r="F41" s="31"/>
      <c r="G41" s="17" t="s">
        <v>82</v>
      </c>
      <c r="H41" s="17" t="s">
        <v>87</v>
      </c>
      <c r="I41" s="18">
        <f>5238607</f>
        <v>5238607</v>
      </c>
      <c r="J41" s="32">
        <f>3054055.56</f>
        <v>3054055.56</v>
      </c>
      <c r="K41" s="32"/>
      <c r="L41" s="32"/>
      <c r="M41" s="32"/>
      <c r="N41" s="49">
        <f>2184551.44</f>
        <v>2184551.44</v>
      </c>
      <c r="O41" s="49"/>
    </row>
    <row r="42" spans="1:15" s="1" customFormat="1" ht="13.5" customHeight="1">
      <c r="A42" s="31" t="s">
        <v>85</v>
      </c>
      <c r="B42" s="31"/>
      <c r="C42" s="31"/>
      <c r="D42" s="31"/>
      <c r="E42" s="31"/>
      <c r="F42" s="31"/>
      <c r="G42" s="17" t="s">
        <v>82</v>
      </c>
      <c r="H42" s="17" t="s">
        <v>88</v>
      </c>
      <c r="I42" s="18">
        <f>1981120</f>
        <v>1981120</v>
      </c>
      <c r="J42" s="32">
        <f>999586.85</f>
        <v>999586.85</v>
      </c>
      <c r="K42" s="32"/>
      <c r="L42" s="32"/>
      <c r="M42" s="32"/>
      <c r="N42" s="49">
        <f>981533.15</f>
        <v>981533.15</v>
      </c>
      <c r="O42" s="49"/>
    </row>
    <row r="43" spans="1:15" s="1" customFormat="1" ht="13.5" customHeight="1">
      <c r="A43" s="31" t="s">
        <v>89</v>
      </c>
      <c r="B43" s="31"/>
      <c r="C43" s="31"/>
      <c r="D43" s="31"/>
      <c r="E43" s="31"/>
      <c r="F43" s="31"/>
      <c r="G43" s="17" t="s">
        <v>82</v>
      </c>
      <c r="H43" s="17" t="s">
        <v>90</v>
      </c>
      <c r="I43" s="18">
        <f>3000</f>
        <v>3000</v>
      </c>
      <c r="J43" s="32">
        <f>1697.98</f>
        <v>1697.98</v>
      </c>
      <c r="K43" s="32"/>
      <c r="L43" s="32"/>
      <c r="M43" s="32"/>
      <c r="N43" s="49">
        <f>1302.02</f>
        <v>1302.02</v>
      </c>
      <c r="O43" s="49"/>
    </row>
    <row r="44" spans="1:15" s="1" customFormat="1" ht="13.5" customHeight="1">
      <c r="A44" s="31" t="s">
        <v>91</v>
      </c>
      <c r="B44" s="31"/>
      <c r="C44" s="31"/>
      <c r="D44" s="31"/>
      <c r="E44" s="31"/>
      <c r="F44" s="31"/>
      <c r="G44" s="17" t="s">
        <v>82</v>
      </c>
      <c r="H44" s="17" t="s">
        <v>92</v>
      </c>
      <c r="I44" s="18">
        <f>300000</f>
        <v>300000</v>
      </c>
      <c r="J44" s="32">
        <f>97864.5</f>
        <v>97864.5</v>
      </c>
      <c r="K44" s="32"/>
      <c r="L44" s="32"/>
      <c r="M44" s="32"/>
      <c r="N44" s="49">
        <f>202135.5</f>
        <v>202135.5</v>
      </c>
      <c r="O44" s="49"/>
    </row>
    <row r="45" spans="1:15" s="1" customFormat="1" ht="13.5" customHeight="1">
      <c r="A45" s="31" t="s">
        <v>93</v>
      </c>
      <c r="B45" s="31"/>
      <c r="C45" s="31"/>
      <c r="D45" s="31"/>
      <c r="E45" s="31"/>
      <c r="F45" s="31"/>
      <c r="G45" s="17" t="s">
        <v>82</v>
      </c>
      <c r="H45" s="17" t="s">
        <v>94</v>
      </c>
      <c r="I45" s="18">
        <f>50000</f>
        <v>50000</v>
      </c>
      <c r="J45" s="32">
        <f>18259.3</f>
        <v>18259.3</v>
      </c>
      <c r="K45" s="32"/>
      <c r="L45" s="32"/>
      <c r="M45" s="32"/>
      <c r="N45" s="49">
        <f>31740.7</f>
        <v>31740.7</v>
      </c>
      <c r="O45" s="49"/>
    </row>
    <row r="46" spans="1:15" s="1" customFormat="1" ht="13.5" customHeight="1">
      <c r="A46" s="31" t="s">
        <v>95</v>
      </c>
      <c r="B46" s="31"/>
      <c r="C46" s="31"/>
      <c r="D46" s="31"/>
      <c r="E46" s="31"/>
      <c r="F46" s="31"/>
      <c r="G46" s="17" t="s">
        <v>82</v>
      </c>
      <c r="H46" s="17" t="s">
        <v>96</v>
      </c>
      <c r="I46" s="18">
        <f>248200</f>
        <v>248200</v>
      </c>
      <c r="J46" s="32">
        <f>148000</f>
        <v>148000</v>
      </c>
      <c r="K46" s="32"/>
      <c r="L46" s="32"/>
      <c r="M46" s="32"/>
      <c r="N46" s="49">
        <f>100200</f>
        <v>100200</v>
      </c>
      <c r="O46" s="49"/>
    </row>
    <row r="47" spans="1:15" s="1" customFormat="1" ht="13.5" customHeight="1">
      <c r="A47" s="31" t="s">
        <v>97</v>
      </c>
      <c r="B47" s="31"/>
      <c r="C47" s="31"/>
      <c r="D47" s="31"/>
      <c r="E47" s="31"/>
      <c r="F47" s="31"/>
      <c r="G47" s="17" t="s">
        <v>82</v>
      </c>
      <c r="H47" s="17" t="s">
        <v>98</v>
      </c>
      <c r="I47" s="18">
        <f>450000</f>
        <v>450000</v>
      </c>
      <c r="J47" s="32">
        <f>415780.84</f>
        <v>415780.84</v>
      </c>
      <c r="K47" s="32"/>
      <c r="L47" s="32"/>
      <c r="M47" s="32"/>
      <c r="N47" s="49">
        <f>34219.16</f>
        <v>34219.16</v>
      </c>
      <c r="O47" s="49"/>
    </row>
    <row r="48" spans="1:15" s="1" customFormat="1" ht="13.5" customHeight="1">
      <c r="A48" s="31" t="s">
        <v>99</v>
      </c>
      <c r="B48" s="31"/>
      <c r="C48" s="31"/>
      <c r="D48" s="31"/>
      <c r="E48" s="31"/>
      <c r="F48" s="31"/>
      <c r="G48" s="17" t="s">
        <v>82</v>
      </c>
      <c r="H48" s="17" t="s">
        <v>100</v>
      </c>
      <c r="I48" s="18">
        <f>900000</f>
        <v>900000</v>
      </c>
      <c r="J48" s="32">
        <f>166029</f>
        <v>166029</v>
      </c>
      <c r="K48" s="32"/>
      <c r="L48" s="32"/>
      <c r="M48" s="32"/>
      <c r="N48" s="49">
        <f>733971</f>
        <v>733971</v>
      </c>
      <c r="O48" s="49"/>
    </row>
    <row r="49" spans="1:15" s="1" customFormat="1" ht="13.5" customHeight="1">
      <c r="A49" s="31" t="s">
        <v>101</v>
      </c>
      <c r="B49" s="31"/>
      <c r="C49" s="31"/>
      <c r="D49" s="31"/>
      <c r="E49" s="31"/>
      <c r="F49" s="31"/>
      <c r="G49" s="17" t="s">
        <v>82</v>
      </c>
      <c r="H49" s="17" t="s">
        <v>102</v>
      </c>
      <c r="I49" s="18">
        <f>943393</f>
        <v>943393</v>
      </c>
      <c r="J49" s="32">
        <f>855252</f>
        <v>855252</v>
      </c>
      <c r="K49" s="32"/>
      <c r="L49" s="32"/>
      <c r="M49" s="32"/>
      <c r="N49" s="49">
        <f>88141</f>
        <v>88141</v>
      </c>
      <c r="O49" s="49"/>
    </row>
    <row r="50" spans="1:15" s="1" customFormat="1" ht="13.5" customHeight="1">
      <c r="A50" s="31" t="s">
        <v>103</v>
      </c>
      <c r="B50" s="31"/>
      <c r="C50" s="31"/>
      <c r="D50" s="31"/>
      <c r="E50" s="31"/>
      <c r="F50" s="31"/>
      <c r="G50" s="17" t="s">
        <v>82</v>
      </c>
      <c r="H50" s="17" t="s">
        <v>104</v>
      </c>
      <c r="I50" s="18">
        <f>450000</f>
        <v>450000</v>
      </c>
      <c r="J50" s="32">
        <f>166572.9</f>
        <v>166572.9</v>
      </c>
      <c r="K50" s="32"/>
      <c r="L50" s="32"/>
      <c r="M50" s="32"/>
      <c r="N50" s="49">
        <f>283427.1</f>
        <v>283427.1</v>
      </c>
      <c r="O50" s="49"/>
    </row>
    <row r="51" spans="1:15" s="1" customFormat="1" ht="13.5" customHeight="1">
      <c r="A51" s="31" t="s">
        <v>101</v>
      </c>
      <c r="B51" s="31"/>
      <c r="C51" s="31"/>
      <c r="D51" s="31"/>
      <c r="E51" s="31"/>
      <c r="F51" s="31"/>
      <c r="G51" s="17" t="s">
        <v>82</v>
      </c>
      <c r="H51" s="17" t="s">
        <v>105</v>
      </c>
      <c r="I51" s="18">
        <f>7334</f>
        <v>7334</v>
      </c>
      <c r="J51" s="32">
        <f>3666</f>
        <v>3666</v>
      </c>
      <c r="K51" s="32"/>
      <c r="L51" s="32"/>
      <c r="M51" s="32"/>
      <c r="N51" s="49">
        <f>3668</f>
        <v>3668</v>
      </c>
      <c r="O51" s="49"/>
    </row>
    <row r="52" spans="1:15" s="1" customFormat="1" ht="13.5" customHeight="1">
      <c r="A52" s="31" t="s">
        <v>106</v>
      </c>
      <c r="B52" s="31"/>
      <c r="C52" s="31"/>
      <c r="D52" s="31"/>
      <c r="E52" s="31"/>
      <c r="F52" s="31"/>
      <c r="G52" s="17" t="s">
        <v>82</v>
      </c>
      <c r="H52" s="17" t="s">
        <v>107</v>
      </c>
      <c r="I52" s="18">
        <f>250000</f>
        <v>250000</v>
      </c>
      <c r="J52" s="32">
        <f>125000</f>
        <v>125000</v>
      </c>
      <c r="K52" s="32"/>
      <c r="L52" s="32"/>
      <c r="M52" s="32"/>
      <c r="N52" s="49">
        <f>125000</f>
        <v>125000</v>
      </c>
      <c r="O52" s="49"/>
    </row>
    <row r="53" spans="1:15" s="1" customFormat="1" ht="13.5" customHeight="1">
      <c r="A53" s="31" t="s">
        <v>103</v>
      </c>
      <c r="B53" s="31"/>
      <c r="C53" s="31"/>
      <c r="D53" s="31"/>
      <c r="E53" s="31"/>
      <c r="F53" s="31"/>
      <c r="G53" s="17" t="s">
        <v>82</v>
      </c>
      <c r="H53" s="17" t="s">
        <v>108</v>
      </c>
      <c r="I53" s="18">
        <f>14000</f>
        <v>14000</v>
      </c>
      <c r="J53" s="50" t="s">
        <v>40</v>
      </c>
      <c r="K53" s="50"/>
      <c r="L53" s="50"/>
      <c r="M53" s="50"/>
      <c r="N53" s="49">
        <f>14000</f>
        <v>14000</v>
      </c>
      <c r="O53" s="49"/>
    </row>
    <row r="54" spans="1:15" s="1" customFormat="1" ht="13.5" customHeight="1">
      <c r="A54" s="31" t="s">
        <v>109</v>
      </c>
      <c r="B54" s="31"/>
      <c r="C54" s="31"/>
      <c r="D54" s="31"/>
      <c r="E54" s="31"/>
      <c r="F54" s="31"/>
      <c r="G54" s="17" t="s">
        <v>82</v>
      </c>
      <c r="H54" s="17" t="s">
        <v>110</v>
      </c>
      <c r="I54" s="18">
        <f>34841</f>
        <v>34841</v>
      </c>
      <c r="J54" s="32">
        <f>34841</f>
        <v>34841</v>
      </c>
      <c r="K54" s="32"/>
      <c r="L54" s="32"/>
      <c r="M54" s="32"/>
      <c r="N54" s="49">
        <f>0</f>
        <v>0</v>
      </c>
      <c r="O54" s="49"/>
    </row>
    <row r="55" spans="1:15" s="1" customFormat="1" ht="13.5" customHeight="1">
      <c r="A55" s="31" t="s">
        <v>95</v>
      </c>
      <c r="B55" s="31"/>
      <c r="C55" s="31"/>
      <c r="D55" s="31"/>
      <c r="E55" s="31"/>
      <c r="F55" s="31"/>
      <c r="G55" s="17" t="s">
        <v>82</v>
      </c>
      <c r="H55" s="17" t="s">
        <v>111</v>
      </c>
      <c r="I55" s="18">
        <f>12620.4</f>
        <v>12620.4</v>
      </c>
      <c r="J55" s="32">
        <f>0</f>
        <v>0</v>
      </c>
      <c r="K55" s="32"/>
      <c r="L55" s="32"/>
      <c r="M55" s="32"/>
      <c r="N55" s="49">
        <f>12620.4</f>
        <v>12620.4</v>
      </c>
      <c r="O55" s="49"/>
    </row>
    <row r="56" spans="1:15" s="1" customFormat="1" ht="13.5" customHeight="1">
      <c r="A56" s="31" t="s">
        <v>97</v>
      </c>
      <c r="B56" s="31"/>
      <c r="C56" s="31"/>
      <c r="D56" s="31"/>
      <c r="E56" s="31"/>
      <c r="F56" s="31"/>
      <c r="G56" s="17" t="s">
        <v>82</v>
      </c>
      <c r="H56" s="17" t="s">
        <v>112</v>
      </c>
      <c r="I56" s="18">
        <f>2728844.76</f>
        <v>2728844.76</v>
      </c>
      <c r="J56" s="32">
        <f>1060901.9</f>
        <v>1060901.9</v>
      </c>
      <c r="K56" s="32"/>
      <c r="L56" s="32"/>
      <c r="M56" s="32"/>
      <c r="N56" s="49">
        <f>1667942.86</f>
        <v>1667942.86</v>
      </c>
      <c r="O56" s="49"/>
    </row>
    <row r="57" spans="1:15" s="1" customFormat="1" ht="13.5" customHeight="1">
      <c r="A57" s="31" t="s">
        <v>103</v>
      </c>
      <c r="B57" s="31"/>
      <c r="C57" s="31"/>
      <c r="D57" s="31"/>
      <c r="E57" s="31"/>
      <c r="F57" s="31"/>
      <c r="G57" s="17" t="s">
        <v>82</v>
      </c>
      <c r="H57" s="17" t="s">
        <v>113</v>
      </c>
      <c r="I57" s="18">
        <f>20000</f>
        <v>20000</v>
      </c>
      <c r="J57" s="32">
        <f>20000</f>
        <v>20000</v>
      </c>
      <c r="K57" s="32"/>
      <c r="L57" s="32"/>
      <c r="M57" s="32"/>
      <c r="N57" s="49">
        <f>0</f>
        <v>0</v>
      </c>
      <c r="O57" s="49"/>
    </row>
    <row r="58" spans="1:15" s="1" customFormat="1" ht="13.5" customHeight="1">
      <c r="A58" s="31" t="s">
        <v>101</v>
      </c>
      <c r="B58" s="31"/>
      <c r="C58" s="31"/>
      <c r="D58" s="31"/>
      <c r="E58" s="31"/>
      <c r="F58" s="31"/>
      <c r="G58" s="17" t="s">
        <v>82</v>
      </c>
      <c r="H58" s="17" t="s">
        <v>114</v>
      </c>
      <c r="I58" s="18">
        <f>22815</f>
        <v>22815</v>
      </c>
      <c r="J58" s="32">
        <f>22815</f>
        <v>22815</v>
      </c>
      <c r="K58" s="32"/>
      <c r="L58" s="32"/>
      <c r="M58" s="32"/>
      <c r="N58" s="49">
        <f>0</f>
        <v>0</v>
      </c>
      <c r="O58" s="49"/>
    </row>
    <row r="59" spans="1:15" s="1" customFormat="1" ht="13.5" customHeight="1">
      <c r="A59" s="31" t="s">
        <v>103</v>
      </c>
      <c r="B59" s="31"/>
      <c r="C59" s="31"/>
      <c r="D59" s="31"/>
      <c r="E59" s="31"/>
      <c r="F59" s="31"/>
      <c r="G59" s="17" t="s">
        <v>82</v>
      </c>
      <c r="H59" s="17" t="s">
        <v>115</v>
      </c>
      <c r="I59" s="18">
        <f>90000</f>
        <v>90000</v>
      </c>
      <c r="J59" s="32">
        <f>46500</f>
        <v>46500</v>
      </c>
      <c r="K59" s="32"/>
      <c r="L59" s="32"/>
      <c r="M59" s="32"/>
      <c r="N59" s="49">
        <f>43500</f>
        <v>43500</v>
      </c>
      <c r="O59" s="49"/>
    </row>
    <row r="60" spans="1:15" s="1" customFormat="1" ht="13.5" customHeight="1">
      <c r="A60" s="31" t="s">
        <v>97</v>
      </c>
      <c r="B60" s="31"/>
      <c r="C60" s="31"/>
      <c r="D60" s="31"/>
      <c r="E60" s="31"/>
      <c r="F60" s="31"/>
      <c r="G60" s="17" t="s">
        <v>82</v>
      </c>
      <c r="H60" s="17" t="s">
        <v>116</v>
      </c>
      <c r="I60" s="18">
        <f>102000</f>
        <v>102000</v>
      </c>
      <c r="J60" s="32">
        <f>43484</f>
        <v>43484</v>
      </c>
      <c r="K60" s="32"/>
      <c r="L60" s="32"/>
      <c r="M60" s="32"/>
      <c r="N60" s="49">
        <f>58516</f>
        <v>58516</v>
      </c>
      <c r="O60" s="49"/>
    </row>
    <row r="61" spans="1:15" s="1" customFormat="1" ht="13.5" customHeight="1">
      <c r="A61" s="31" t="s">
        <v>97</v>
      </c>
      <c r="B61" s="31"/>
      <c r="C61" s="31"/>
      <c r="D61" s="31"/>
      <c r="E61" s="31"/>
      <c r="F61" s="31"/>
      <c r="G61" s="17" t="s">
        <v>82</v>
      </c>
      <c r="H61" s="17" t="s">
        <v>117</v>
      </c>
      <c r="I61" s="18">
        <f>2000</f>
        <v>2000</v>
      </c>
      <c r="J61" s="50" t="s">
        <v>40</v>
      </c>
      <c r="K61" s="50"/>
      <c r="L61" s="50"/>
      <c r="M61" s="50"/>
      <c r="N61" s="49">
        <f>2000</f>
        <v>2000</v>
      </c>
      <c r="O61" s="49"/>
    </row>
    <row r="62" spans="1:15" s="1" customFormat="1" ht="13.5" customHeight="1">
      <c r="A62" s="31" t="s">
        <v>99</v>
      </c>
      <c r="B62" s="31"/>
      <c r="C62" s="31"/>
      <c r="D62" s="31"/>
      <c r="E62" s="31"/>
      <c r="F62" s="31"/>
      <c r="G62" s="17" t="s">
        <v>82</v>
      </c>
      <c r="H62" s="17" t="s">
        <v>118</v>
      </c>
      <c r="I62" s="18">
        <f>0</f>
        <v>0</v>
      </c>
      <c r="J62" s="50" t="s">
        <v>40</v>
      </c>
      <c r="K62" s="50"/>
      <c r="L62" s="50"/>
      <c r="M62" s="50"/>
      <c r="N62" s="49">
        <f>0</f>
        <v>0</v>
      </c>
      <c r="O62" s="49"/>
    </row>
    <row r="63" spans="1:15" s="1" customFormat="1" ht="13.5" customHeight="1">
      <c r="A63" s="31" t="s">
        <v>101</v>
      </c>
      <c r="B63" s="31"/>
      <c r="C63" s="31"/>
      <c r="D63" s="31"/>
      <c r="E63" s="31"/>
      <c r="F63" s="31"/>
      <c r="G63" s="17" t="s">
        <v>82</v>
      </c>
      <c r="H63" s="17" t="s">
        <v>119</v>
      </c>
      <c r="I63" s="18">
        <f>10000</f>
        <v>10000</v>
      </c>
      <c r="J63" s="50" t="s">
        <v>40</v>
      </c>
      <c r="K63" s="50"/>
      <c r="L63" s="50"/>
      <c r="M63" s="50"/>
      <c r="N63" s="49">
        <f>10000</f>
        <v>10000</v>
      </c>
      <c r="O63" s="49"/>
    </row>
    <row r="64" spans="1:15" s="1" customFormat="1" ht="13.5" customHeight="1">
      <c r="A64" s="31" t="s">
        <v>101</v>
      </c>
      <c r="B64" s="31"/>
      <c r="C64" s="31"/>
      <c r="D64" s="31"/>
      <c r="E64" s="31"/>
      <c r="F64" s="31"/>
      <c r="G64" s="17" t="s">
        <v>82</v>
      </c>
      <c r="H64" s="17" t="s">
        <v>120</v>
      </c>
      <c r="I64" s="18">
        <f>1000</f>
        <v>1000</v>
      </c>
      <c r="J64" s="50" t="s">
        <v>40</v>
      </c>
      <c r="K64" s="50"/>
      <c r="L64" s="50"/>
      <c r="M64" s="50"/>
      <c r="N64" s="49">
        <f>1000</f>
        <v>1000</v>
      </c>
      <c r="O64" s="49"/>
    </row>
    <row r="65" spans="1:15" s="1" customFormat="1" ht="13.5" customHeight="1">
      <c r="A65" s="31" t="s">
        <v>101</v>
      </c>
      <c r="B65" s="31"/>
      <c r="C65" s="31"/>
      <c r="D65" s="31"/>
      <c r="E65" s="31"/>
      <c r="F65" s="31"/>
      <c r="G65" s="17" t="s">
        <v>82</v>
      </c>
      <c r="H65" s="17" t="s">
        <v>121</v>
      </c>
      <c r="I65" s="18">
        <f>72000</f>
        <v>72000</v>
      </c>
      <c r="J65" s="32">
        <f>72000</f>
        <v>72000</v>
      </c>
      <c r="K65" s="32"/>
      <c r="L65" s="32"/>
      <c r="M65" s="32"/>
      <c r="N65" s="49">
        <f>0</f>
        <v>0</v>
      </c>
      <c r="O65" s="49"/>
    </row>
    <row r="66" spans="1:15" s="1" customFormat="1" ht="13.5" customHeight="1">
      <c r="A66" s="31" t="s">
        <v>97</v>
      </c>
      <c r="B66" s="31"/>
      <c r="C66" s="31"/>
      <c r="D66" s="31"/>
      <c r="E66" s="31"/>
      <c r="F66" s="31"/>
      <c r="G66" s="17" t="s">
        <v>82</v>
      </c>
      <c r="H66" s="17" t="s">
        <v>122</v>
      </c>
      <c r="I66" s="18">
        <f>4000</f>
        <v>4000</v>
      </c>
      <c r="J66" s="50" t="s">
        <v>40</v>
      </c>
      <c r="K66" s="50"/>
      <c r="L66" s="50"/>
      <c r="M66" s="50"/>
      <c r="N66" s="49">
        <f>4000</f>
        <v>4000</v>
      </c>
      <c r="O66" s="49"/>
    </row>
    <row r="67" spans="1:15" s="1" customFormat="1" ht="13.5" customHeight="1">
      <c r="A67" s="31" t="s">
        <v>97</v>
      </c>
      <c r="B67" s="31"/>
      <c r="C67" s="31"/>
      <c r="D67" s="31"/>
      <c r="E67" s="31"/>
      <c r="F67" s="31"/>
      <c r="G67" s="17" t="s">
        <v>82</v>
      </c>
      <c r="H67" s="17" t="s">
        <v>123</v>
      </c>
      <c r="I67" s="18">
        <f>4000</f>
        <v>4000</v>
      </c>
      <c r="J67" s="50" t="s">
        <v>40</v>
      </c>
      <c r="K67" s="50"/>
      <c r="L67" s="50"/>
      <c r="M67" s="50"/>
      <c r="N67" s="49">
        <f>4000</f>
        <v>4000</v>
      </c>
      <c r="O67" s="49"/>
    </row>
    <row r="68" spans="1:15" s="1" customFormat="1" ht="13.5" customHeight="1">
      <c r="A68" s="31" t="s">
        <v>95</v>
      </c>
      <c r="B68" s="31"/>
      <c r="C68" s="31"/>
      <c r="D68" s="31"/>
      <c r="E68" s="31"/>
      <c r="F68" s="31"/>
      <c r="G68" s="17" t="s">
        <v>82</v>
      </c>
      <c r="H68" s="17" t="s">
        <v>124</v>
      </c>
      <c r="I68" s="18">
        <f>13736300</f>
        <v>13736300</v>
      </c>
      <c r="J68" s="50" t="s">
        <v>40</v>
      </c>
      <c r="K68" s="50"/>
      <c r="L68" s="50"/>
      <c r="M68" s="50"/>
      <c r="N68" s="49">
        <f>13736300</f>
        <v>13736300</v>
      </c>
      <c r="O68" s="49"/>
    </row>
    <row r="69" spans="1:15" s="1" customFormat="1" ht="13.5" customHeight="1">
      <c r="A69" s="31" t="s">
        <v>95</v>
      </c>
      <c r="B69" s="31"/>
      <c r="C69" s="31"/>
      <c r="D69" s="31"/>
      <c r="E69" s="31"/>
      <c r="F69" s="31"/>
      <c r="G69" s="17" t="s">
        <v>82</v>
      </c>
      <c r="H69" s="17" t="s">
        <v>125</v>
      </c>
      <c r="I69" s="18">
        <f>3065000</f>
        <v>3065000</v>
      </c>
      <c r="J69" s="32">
        <f>1340572</f>
        <v>1340572</v>
      </c>
      <c r="K69" s="32"/>
      <c r="L69" s="32"/>
      <c r="M69" s="32"/>
      <c r="N69" s="49">
        <f>1724428</f>
        <v>1724428</v>
      </c>
      <c r="O69" s="49"/>
    </row>
    <row r="70" spans="1:15" s="1" customFormat="1" ht="13.5" customHeight="1">
      <c r="A70" s="31" t="s">
        <v>97</v>
      </c>
      <c r="B70" s="31"/>
      <c r="C70" s="31"/>
      <c r="D70" s="31"/>
      <c r="E70" s="31"/>
      <c r="F70" s="31"/>
      <c r="G70" s="17" t="s">
        <v>82</v>
      </c>
      <c r="H70" s="17" t="s">
        <v>126</v>
      </c>
      <c r="I70" s="18">
        <f>109460</f>
        <v>109460</v>
      </c>
      <c r="J70" s="32">
        <f>108460</f>
        <v>108460</v>
      </c>
      <c r="K70" s="32"/>
      <c r="L70" s="32"/>
      <c r="M70" s="32"/>
      <c r="N70" s="49">
        <f>1000</f>
        <v>1000</v>
      </c>
      <c r="O70" s="49"/>
    </row>
    <row r="71" spans="1:15" s="1" customFormat="1" ht="13.5" customHeight="1">
      <c r="A71" s="31" t="s">
        <v>99</v>
      </c>
      <c r="B71" s="31"/>
      <c r="C71" s="31"/>
      <c r="D71" s="31"/>
      <c r="E71" s="31"/>
      <c r="F71" s="31"/>
      <c r="G71" s="17" t="s">
        <v>82</v>
      </c>
      <c r="H71" s="17" t="s">
        <v>127</v>
      </c>
      <c r="I71" s="18">
        <f>235000</f>
        <v>235000</v>
      </c>
      <c r="J71" s="32">
        <f>70000</f>
        <v>70000</v>
      </c>
      <c r="K71" s="32"/>
      <c r="L71" s="32"/>
      <c r="M71" s="32"/>
      <c r="N71" s="49">
        <f>165000</f>
        <v>165000</v>
      </c>
      <c r="O71" s="49"/>
    </row>
    <row r="72" spans="1:15" s="1" customFormat="1" ht="13.5" customHeight="1">
      <c r="A72" s="31" t="s">
        <v>101</v>
      </c>
      <c r="B72" s="31"/>
      <c r="C72" s="31"/>
      <c r="D72" s="31"/>
      <c r="E72" s="31"/>
      <c r="F72" s="31"/>
      <c r="G72" s="17" t="s">
        <v>82</v>
      </c>
      <c r="H72" s="17" t="s">
        <v>128</v>
      </c>
      <c r="I72" s="18">
        <f>90540</f>
        <v>90540</v>
      </c>
      <c r="J72" s="32">
        <f>63648</f>
        <v>63648</v>
      </c>
      <c r="K72" s="32"/>
      <c r="L72" s="32"/>
      <c r="M72" s="32"/>
      <c r="N72" s="49">
        <f>26892</f>
        <v>26892</v>
      </c>
      <c r="O72" s="49"/>
    </row>
    <row r="73" spans="1:15" s="1" customFormat="1" ht="13.5" customHeight="1">
      <c r="A73" s="31" t="s">
        <v>97</v>
      </c>
      <c r="B73" s="31"/>
      <c r="C73" s="31"/>
      <c r="D73" s="31"/>
      <c r="E73" s="31"/>
      <c r="F73" s="31"/>
      <c r="G73" s="17" t="s">
        <v>82</v>
      </c>
      <c r="H73" s="17" t="s">
        <v>129</v>
      </c>
      <c r="I73" s="18">
        <f>2710000</f>
        <v>2710000</v>
      </c>
      <c r="J73" s="32">
        <f>2708865</f>
        <v>2708865</v>
      </c>
      <c r="K73" s="32"/>
      <c r="L73" s="32"/>
      <c r="M73" s="32"/>
      <c r="N73" s="49">
        <f>1135</f>
        <v>1135</v>
      </c>
      <c r="O73" s="49"/>
    </row>
    <row r="74" spans="1:15" s="1" customFormat="1" ht="13.5" customHeight="1">
      <c r="A74" s="31" t="s">
        <v>97</v>
      </c>
      <c r="B74" s="31"/>
      <c r="C74" s="31"/>
      <c r="D74" s="31"/>
      <c r="E74" s="31"/>
      <c r="F74" s="31"/>
      <c r="G74" s="17" t="s">
        <v>82</v>
      </c>
      <c r="H74" s="17" t="s">
        <v>130</v>
      </c>
      <c r="I74" s="18">
        <f>145000</f>
        <v>145000</v>
      </c>
      <c r="J74" s="32">
        <f>145000</f>
        <v>145000</v>
      </c>
      <c r="K74" s="32"/>
      <c r="L74" s="32"/>
      <c r="M74" s="32"/>
      <c r="N74" s="49">
        <f>0</f>
        <v>0</v>
      </c>
      <c r="O74" s="49"/>
    </row>
    <row r="75" spans="1:15" s="1" customFormat="1" ht="13.5" customHeight="1">
      <c r="A75" s="31" t="s">
        <v>95</v>
      </c>
      <c r="B75" s="31"/>
      <c r="C75" s="31"/>
      <c r="D75" s="31"/>
      <c r="E75" s="31"/>
      <c r="F75" s="31"/>
      <c r="G75" s="17" t="s">
        <v>82</v>
      </c>
      <c r="H75" s="17" t="s">
        <v>131</v>
      </c>
      <c r="I75" s="18">
        <f>50000</f>
        <v>50000</v>
      </c>
      <c r="J75" s="32">
        <f>50000</f>
        <v>50000</v>
      </c>
      <c r="K75" s="32"/>
      <c r="L75" s="32"/>
      <c r="M75" s="32"/>
      <c r="N75" s="49">
        <f>0</f>
        <v>0</v>
      </c>
      <c r="O75" s="49"/>
    </row>
    <row r="76" spans="1:15" s="1" customFormat="1" ht="13.5" customHeight="1">
      <c r="A76" s="31" t="s">
        <v>99</v>
      </c>
      <c r="B76" s="31"/>
      <c r="C76" s="31"/>
      <c r="D76" s="31"/>
      <c r="E76" s="31"/>
      <c r="F76" s="31"/>
      <c r="G76" s="17" t="s">
        <v>82</v>
      </c>
      <c r="H76" s="17" t="s">
        <v>132</v>
      </c>
      <c r="I76" s="18">
        <f>2968000</f>
        <v>2968000</v>
      </c>
      <c r="J76" s="50" t="s">
        <v>40</v>
      </c>
      <c r="K76" s="50"/>
      <c r="L76" s="50"/>
      <c r="M76" s="50"/>
      <c r="N76" s="49">
        <f>2968000</f>
        <v>2968000</v>
      </c>
      <c r="O76" s="49"/>
    </row>
    <row r="77" spans="1:15" s="1" customFormat="1" ht="13.5" customHeight="1">
      <c r="A77" s="31" t="s">
        <v>99</v>
      </c>
      <c r="B77" s="31"/>
      <c r="C77" s="31"/>
      <c r="D77" s="31"/>
      <c r="E77" s="31"/>
      <c r="F77" s="31"/>
      <c r="G77" s="17" t="s">
        <v>82</v>
      </c>
      <c r="H77" s="17" t="s">
        <v>133</v>
      </c>
      <c r="I77" s="18">
        <f>9445726.39</f>
        <v>9445726.39</v>
      </c>
      <c r="J77" s="32">
        <f>8690246</f>
        <v>8690246</v>
      </c>
      <c r="K77" s="32"/>
      <c r="L77" s="32"/>
      <c r="M77" s="32"/>
      <c r="N77" s="49">
        <f>755480.39</f>
        <v>755480.39</v>
      </c>
      <c r="O77" s="49"/>
    </row>
    <row r="78" spans="1:15" s="1" customFormat="1" ht="13.5" customHeight="1">
      <c r="A78" s="31" t="s">
        <v>99</v>
      </c>
      <c r="B78" s="31"/>
      <c r="C78" s="31"/>
      <c r="D78" s="31"/>
      <c r="E78" s="31"/>
      <c r="F78" s="31"/>
      <c r="G78" s="17" t="s">
        <v>82</v>
      </c>
      <c r="H78" s="17" t="s">
        <v>134</v>
      </c>
      <c r="I78" s="18">
        <f>3485000</f>
        <v>3485000</v>
      </c>
      <c r="J78" s="50" t="s">
        <v>40</v>
      </c>
      <c r="K78" s="50"/>
      <c r="L78" s="50"/>
      <c r="M78" s="50"/>
      <c r="N78" s="49">
        <f>3485000</f>
        <v>3485000</v>
      </c>
      <c r="O78" s="49"/>
    </row>
    <row r="79" spans="1:15" s="1" customFormat="1" ht="13.5" customHeight="1">
      <c r="A79" s="31" t="s">
        <v>97</v>
      </c>
      <c r="B79" s="31"/>
      <c r="C79" s="31"/>
      <c r="D79" s="31"/>
      <c r="E79" s="31"/>
      <c r="F79" s="31"/>
      <c r="G79" s="17" t="s">
        <v>82</v>
      </c>
      <c r="H79" s="17" t="s">
        <v>135</v>
      </c>
      <c r="I79" s="18">
        <f>100000</f>
        <v>100000</v>
      </c>
      <c r="J79" s="50" t="s">
        <v>40</v>
      </c>
      <c r="K79" s="50"/>
      <c r="L79" s="50"/>
      <c r="M79" s="50"/>
      <c r="N79" s="49">
        <f>100000</f>
        <v>100000</v>
      </c>
      <c r="O79" s="49"/>
    </row>
    <row r="80" spans="1:15" s="1" customFormat="1" ht="13.5" customHeight="1">
      <c r="A80" s="31" t="s">
        <v>97</v>
      </c>
      <c r="B80" s="31"/>
      <c r="C80" s="31"/>
      <c r="D80" s="31"/>
      <c r="E80" s="31"/>
      <c r="F80" s="31"/>
      <c r="G80" s="17" t="s">
        <v>82</v>
      </c>
      <c r="H80" s="17" t="s">
        <v>136</v>
      </c>
      <c r="I80" s="18">
        <f>101144.88</f>
        <v>101144.88</v>
      </c>
      <c r="J80" s="32">
        <f>101144.88</f>
        <v>101144.88</v>
      </c>
      <c r="K80" s="32"/>
      <c r="L80" s="32"/>
      <c r="M80" s="32"/>
      <c r="N80" s="49">
        <f>0</f>
        <v>0</v>
      </c>
      <c r="O80" s="49"/>
    </row>
    <row r="81" spans="1:15" s="1" customFormat="1" ht="13.5" customHeight="1">
      <c r="A81" s="31" t="s">
        <v>99</v>
      </c>
      <c r="B81" s="31"/>
      <c r="C81" s="31"/>
      <c r="D81" s="31"/>
      <c r="E81" s="31"/>
      <c r="F81" s="31"/>
      <c r="G81" s="17" t="s">
        <v>82</v>
      </c>
      <c r="H81" s="17" t="s">
        <v>137</v>
      </c>
      <c r="I81" s="18">
        <f>717000</f>
        <v>717000</v>
      </c>
      <c r="J81" s="32">
        <f>717000</f>
        <v>717000</v>
      </c>
      <c r="K81" s="32"/>
      <c r="L81" s="32"/>
      <c r="M81" s="32"/>
      <c r="N81" s="49">
        <f>0</f>
        <v>0</v>
      </c>
      <c r="O81" s="49"/>
    </row>
    <row r="82" spans="1:15" s="1" customFormat="1" ht="13.5" customHeight="1">
      <c r="A82" s="31" t="s">
        <v>95</v>
      </c>
      <c r="B82" s="31"/>
      <c r="C82" s="31"/>
      <c r="D82" s="31"/>
      <c r="E82" s="31"/>
      <c r="F82" s="31"/>
      <c r="G82" s="17" t="s">
        <v>82</v>
      </c>
      <c r="H82" s="17" t="s">
        <v>138</v>
      </c>
      <c r="I82" s="18">
        <f>0</f>
        <v>0</v>
      </c>
      <c r="J82" s="50" t="s">
        <v>40</v>
      </c>
      <c r="K82" s="50"/>
      <c r="L82" s="50"/>
      <c r="M82" s="50"/>
      <c r="N82" s="49">
        <f>0</f>
        <v>0</v>
      </c>
      <c r="O82" s="49"/>
    </row>
    <row r="83" spans="1:15" s="1" customFormat="1" ht="13.5" customHeight="1">
      <c r="A83" s="31" t="s">
        <v>99</v>
      </c>
      <c r="B83" s="31"/>
      <c r="C83" s="31"/>
      <c r="D83" s="31"/>
      <c r="E83" s="31"/>
      <c r="F83" s="31"/>
      <c r="G83" s="17" t="s">
        <v>82</v>
      </c>
      <c r="H83" s="17" t="s">
        <v>139</v>
      </c>
      <c r="I83" s="18">
        <f>2990000</f>
        <v>2990000</v>
      </c>
      <c r="J83" s="32">
        <f>400000</f>
        <v>400000</v>
      </c>
      <c r="K83" s="32"/>
      <c r="L83" s="32"/>
      <c r="M83" s="32"/>
      <c r="N83" s="49">
        <f>2590000</f>
        <v>2590000</v>
      </c>
      <c r="O83" s="49"/>
    </row>
    <row r="84" spans="1:15" s="1" customFormat="1" ht="13.5" customHeight="1">
      <c r="A84" s="31" t="s">
        <v>95</v>
      </c>
      <c r="B84" s="31"/>
      <c r="C84" s="31"/>
      <c r="D84" s="31"/>
      <c r="E84" s="31"/>
      <c r="F84" s="31"/>
      <c r="G84" s="17" t="s">
        <v>82</v>
      </c>
      <c r="H84" s="17" t="s">
        <v>140</v>
      </c>
      <c r="I84" s="18">
        <f>310000</f>
        <v>310000</v>
      </c>
      <c r="J84" s="32">
        <f>310000</f>
        <v>310000</v>
      </c>
      <c r="K84" s="32"/>
      <c r="L84" s="32"/>
      <c r="M84" s="32"/>
      <c r="N84" s="49">
        <f>0</f>
        <v>0</v>
      </c>
      <c r="O84" s="49"/>
    </row>
    <row r="85" spans="1:15" s="1" customFormat="1" ht="13.5" customHeight="1">
      <c r="A85" s="31" t="s">
        <v>95</v>
      </c>
      <c r="B85" s="31"/>
      <c r="C85" s="31"/>
      <c r="D85" s="31"/>
      <c r="E85" s="31"/>
      <c r="F85" s="31"/>
      <c r="G85" s="17" t="s">
        <v>82</v>
      </c>
      <c r="H85" s="17" t="s">
        <v>141</v>
      </c>
      <c r="I85" s="18">
        <f>900000</f>
        <v>900000</v>
      </c>
      <c r="J85" s="50" t="s">
        <v>40</v>
      </c>
      <c r="K85" s="50"/>
      <c r="L85" s="50"/>
      <c r="M85" s="50"/>
      <c r="N85" s="49">
        <f>900000</f>
        <v>900000</v>
      </c>
      <c r="O85" s="49"/>
    </row>
    <row r="86" spans="1:15" s="1" customFormat="1" ht="13.5" customHeight="1">
      <c r="A86" s="31" t="s">
        <v>93</v>
      </c>
      <c r="B86" s="31"/>
      <c r="C86" s="31"/>
      <c r="D86" s="31"/>
      <c r="E86" s="31"/>
      <c r="F86" s="31"/>
      <c r="G86" s="17" t="s">
        <v>82</v>
      </c>
      <c r="H86" s="17" t="s">
        <v>142</v>
      </c>
      <c r="I86" s="18">
        <f>1349699</f>
        <v>1349699</v>
      </c>
      <c r="J86" s="32">
        <f>981107.13</f>
        <v>981107.13</v>
      </c>
      <c r="K86" s="32"/>
      <c r="L86" s="32"/>
      <c r="M86" s="32"/>
      <c r="N86" s="49">
        <f>368591.87</f>
        <v>368591.87</v>
      </c>
      <c r="O86" s="49"/>
    </row>
    <row r="87" spans="1:15" s="1" customFormat="1" ht="13.5" customHeight="1">
      <c r="A87" s="31" t="s">
        <v>95</v>
      </c>
      <c r="B87" s="31"/>
      <c r="C87" s="31"/>
      <c r="D87" s="31"/>
      <c r="E87" s="31"/>
      <c r="F87" s="31"/>
      <c r="G87" s="17" t="s">
        <v>82</v>
      </c>
      <c r="H87" s="17" t="s">
        <v>143</v>
      </c>
      <c r="I87" s="18">
        <f>396000</f>
        <v>396000</v>
      </c>
      <c r="J87" s="32">
        <f>396000</f>
        <v>396000</v>
      </c>
      <c r="K87" s="32"/>
      <c r="L87" s="32"/>
      <c r="M87" s="32"/>
      <c r="N87" s="49">
        <f>0</f>
        <v>0</v>
      </c>
      <c r="O87" s="49"/>
    </row>
    <row r="88" spans="1:15" s="1" customFormat="1" ht="13.5" customHeight="1">
      <c r="A88" s="31" t="s">
        <v>97</v>
      </c>
      <c r="B88" s="31"/>
      <c r="C88" s="31"/>
      <c r="D88" s="31"/>
      <c r="E88" s="31"/>
      <c r="F88" s="31"/>
      <c r="G88" s="17" t="s">
        <v>82</v>
      </c>
      <c r="H88" s="17" t="s">
        <v>144</v>
      </c>
      <c r="I88" s="18">
        <f>21079</f>
        <v>21079</v>
      </c>
      <c r="J88" s="32">
        <f>21079</f>
        <v>21079</v>
      </c>
      <c r="K88" s="32"/>
      <c r="L88" s="32"/>
      <c r="M88" s="32"/>
      <c r="N88" s="49">
        <f>0</f>
        <v>0</v>
      </c>
      <c r="O88" s="49"/>
    </row>
    <row r="89" spans="1:15" s="1" customFormat="1" ht="13.5" customHeight="1">
      <c r="A89" s="31" t="s">
        <v>101</v>
      </c>
      <c r="B89" s="31"/>
      <c r="C89" s="31"/>
      <c r="D89" s="31"/>
      <c r="E89" s="31"/>
      <c r="F89" s="31"/>
      <c r="G89" s="17" t="s">
        <v>82</v>
      </c>
      <c r="H89" s="17" t="s">
        <v>145</v>
      </c>
      <c r="I89" s="18">
        <f>107768</f>
        <v>107768</v>
      </c>
      <c r="J89" s="32">
        <f>107768</f>
        <v>107768</v>
      </c>
      <c r="K89" s="32"/>
      <c r="L89" s="32"/>
      <c r="M89" s="32"/>
      <c r="N89" s="49">
        <f>0</f>
        <v>0</v>
      </c>
      <c r="O89" s="49"/>
    </row>
    <row r="90" spans="1:15" s="1" customFormat="1" ht="13.5" customHeight="1">
      <c r="A90" s="31" t="s">
        <v>95</v>
      </c>
      <c r="B90" s="31"/>
      <c r="C90" s="31"/>
      <c r="D90" s="31"/>
      <c r="E90" s="31"/>
      <c r="F90" s="31"/>
      <c r="G90" s="17" t="s">
        <v>82</v>
      </c>
      <c r="H90" s="17" t="s">
        <v>146</v>
      </c>
      <c r="I90" s="18">
        <f>742000</f>
        <v>742000</v>
      </c>
      <c r="J90" s="32">
        <f>517943.3</f>
        <v>517943.3</v>
      </c>
      <c r="K90" s="32"/>
      <c r="L90" s="32"/>
      <c r="M90" s="32"/>
      <c r="N90" s="49">
        <f>224056.7</f>
        <v>224056.7</v>
      </c>
      <c r="O90" s="49"/>
    </row>
    <row r="91" spans="1:15" s="1" customFormat="1" ht="13.5" customHeight="1">
      <c r="A91" s="31" t="s">
        <v>101</v>
      </c>
      <c r="B91" s="31"/>
      <c r="C91" s="31"/>
      <c r="D91" s="31"/>
      <c r="E91" s="31"/>
      <c r="F91" s="31"/>
      <c r="G91" s="17" t="s">
        <v>82</v>
      </c>
      <c r="H91" s="17" t="s">
        <v>147</v>
      </c>
      <c r="I91" s="18">
        <f>58000</f>
        <v>58000</v>
      </c>
      <c r="J91" s="32">
        <f>58000</f>
        <v>58000</v>
      </c>
      <c r="K91" s="32"/>
      <c r="L91" s="32"/>
      <c r="M91" s="32"/>
      <c r="N91" s="49">
        <f>0</f>
        <v>0</v>
      </c>
      <c r="O91" s="49"/>
    </row>
    <row r="92" spans="1:15" s="1" customFormat="1" ht="13.5" customHeight="1">
      <c r="A92" s="31" t="s">
        <v>148</v>
      </c>
      <c r="B92" s="31"/>
      <c r="C92" s="31"/>
      <c r="D92" s="31"/>
      <c r="E92" s="31"/>
      <c r="F92" s="31"/>
      <c r="G92" s="17" t="s">
        <v>82</v>
      </c>
      <c r="H92" s="17" t="s">
        <v>149</v>
      </c>
      <c r="I92" s="18">
        <f>0</f>
        <v>0</v>
      </c>
      <c r="J92" s="50" t="s">
        <v>40</v>
      </c>
      <c r="K92" s="50"/>
      <c r="L92" s="50"/>
      <c r="M92" s="50"/>
      <c r="N92" s="49">
        <f>0</f>
        <v>0</v>
      </c>
      <c r="O92" s="49"/>
    </row>
    <row r="93" spans="1:15" s="1" customFormat="1" ht="13.5" customHeight="1">
      <c r="A93" s="31" t="s">
        <v>95</v>
      </c>
      <c r="B93" s="31"/>
      <c r="C93" s="31"/>
      <c r="D93" s="31"/>
      <c r="E93" s="31"/>
      <c r="F93" s="31"/>
      <c r="G93" s="17" t="s">
        <v>82</v>
      </c>
      <c r="H93" s="17" t="s">
        <v>150</v>
      </c>
      <c r="I93" s="18">
        <f>294922</f>
        <v>294922</v>
      </c>
      <c r="J93" s="32">
        <f>225321</f>
        <v>225321</v>
      </c>
      <c r="K93" s="32"/>
      <c r="L93" s="32"/>
      <c r="M93" s="32"/>
      <c r="N93" s="49">
        <f>69601</f>
        <v>69601</v>
      </c>
      <c r="O93" s="49"/>
    </row>
    <row r="94" spans="1:15" s="1" customFormat="1" ht="13.5" customHeight="1">
      <c r="A94" s="31" t="s">
        <v>99</v>
      </c>
      <c r="B94" s="31"/>
      <c r="C94" s="31"/>
      <c r="D94" s="31"/>
      <c r="E94" s="31"/>
      <c r="F94" s="31"/>
      <c r="G94" s="17" t="s">
        <v>82</v>
      </c>
      <c r="H94" s="17" t="s">
        <v>151</v>
      </c>
      <c r="I94" s="18">
        <f>30147</f>
        <v>30147</v>
      </c>
      <c r="J94" s="32">
        <f>30147</f>
        <v>30147</v>
      </c>
      <c r="K94" s="32"/>
      <c r="L94" s="32"/>
      <c r="M94" s="32"/>
      <c r="N94" s="49">
        <f>0</f>
        <v>0</v>
      </c>
      <c r="O94" s="49"/>
    </row>
    <row r="95" spans="1:15" s="1" customFormat="1" ht="13.5" customHeight="1">
      <c r="A95" s="31" t="s">
        <v>152</v>
      </c>
      <c r="B95" s="31"/>
      <c r="C95" s="31"/>
      <c r="D95" s="31"/>
      <c r="E95" s="31"/>
      <c r="F95" s="31"/>
      <c r="G95" s="17" t="s">
        <v>82</v>
      </c>
      <c r="H95" s="17" t="s">
        <v>153</v>
      </c>
      <c r="I95" s="18">
        <f>14311</f>
        <v>14311</v>
      </c>
      <c r="J95" s="32">
        <f>14311</f>
        <v>14311</v>
      </c>
      <c r="K95" s="32"/>
      <c r="L95" s="32"/>
      <c r="M95" s="32"/>
      <c r="N95" s="49">
        <f>0</f>
        <v>0</v>
      </c>
      <c r="O95" s="49"/>
    </row>
    <row r="96" spans="1:15" s="1" customFormat="1" ht="13.5" customHeight="1">
      <c r="A96" s="31" t="s">
        <v>93</v>
      </c>
      <c r="B96" s="31"/>
      <c r="C96" s="31"/>
      <c r="D96" s="31"/>
      <c r="E96" s="31"/>
      <c r="F96" s="31"/>
      <c r="G96" s="17" t="s">
        <v>82</v>
      </c>
      <c r="H96" s="17" t="s">
        <v>154</v>
      </c>
      <c r="I96" s="18">
        <f>50000</f>
        <v>50000</v>
      </c>
      <c r="J96" s="32">
        <f>46653.08</f>
        <v>46653.08</v>
      </c>
      <c r="K96" s="32"/>
      <c r="L96" s="32"/>
      <c r="M96" s="32"/>
      <c r="N96" s="49">
        <f>3346.92</f>
        <v>3346.92</v>
      </c>
      <c r="O96" s="49"/>
    </row>
    <row r="97" spans="1:15" s="1" customFormat="1" ht="13.5" customHeight="1">
      <c r="A97" s="31" t="s">
        <v>109</v>
      </c>
      <c r="B97" s="31"/>
      <c r="C97" s="31"/>
      <c r="D97" s="31"/>
      <c r="E97" s="31"/>
      <c r="F97" s="31"/>
      <c r="G97" s="17" t="s">
        <v>82</v>
      </c>
      <c r="H97" s="17" t="s">
        <v>155</v>
      </c>
      <c r="I97" s="18">
        <f>400000</f>
        <v>400000</v>
      </c>
      <c r="J97" s="32">
        <f>251439.26</f>
        <v>251439.26</v>
      </c>
      <c r="K97" s="32"/>
      <c r="L97" s="32"/>
      <c r="M97" s="32"/>
      <c r="N97" s="49">
        <f>148560.74</f>
        <v>148560.74</v>
      </c>
      <c r="O97" s="49"/>
    </row>
    <row r="98" spans="1:15" s="1" customFormat="1" ht="13.5" customHeight="1">
      <c r="A98" s="31" t="s">
        <v>95</v>
      </c>
      <c r="B98" s="31"/>
      <c r="C98" s="31"/>
      <c r="D98" s="31"/>
      <c r="E98" s="31"/>
      <c r="F98" s="31"/>
      <c r="G98" s="17" t="s">
        <v>82</v>
      </c>
      <c r="H98" s="17" t="s">
        <v>156</v>
      </c>
      <c r="I98" s="18">
        <f>4907820</f>
        <v>4907820</v>
      </c>
      <c r="J98" s="32">
        <f>2961516.11</f>
        <v>2961516.11</v>
      </c>
      <c r="K98" s="32"/>
      <c r="L98" s="32"/>
      <c r="M98" s="32"/>
      <c r="N98" s="49">
        <f>1946303.89</f>
        <v>1946303.89</v>
      </c>
      <c r="O98" s="49"/>
    </row>
    <row r="99" spans="1:15" s="1" customFormat="1" ht="13.5" customHeight="1">
      <c r="A99" s="31" t="s">
        <v>97</v>
      </c>
      <c r="B99" s="31"/>
      <c r="C99" s="31"/>
      <c r="D99" s="31"/>
      <c r="E99" s="31"/>
      <c r="F99" s="31"/>
      <c r="G99" s="17" t="s">
        <v>82</v>
      </c>
      <c r="H99" s="17" t="s">
        <v>157</v>
      </c>
      <c r="I99" s="18">
        <f>99800</f>
        <v>99800</v>
      </c>
      <c r="J99" s="32">
        <f>99488.73</f>
        <v>99488.73</v>
      </c>
      <c r="K99" s="32"/>
      <c r="L99" s="32"/>
      <c r="M99" s="32"/>
      <c r="N99" s="49">
        <f>311.27</f>
        <v>311.27</v>
      </c>
      <c r="O99" s="49"/>
    </row>
    <row r="100" spans="1:15" s="1" customFormat="1" ht="13.5" customHeight="1">
      <c r="A100" s="31" t="s">
        <v>99</v>
      </c>
      <c r="B100" s="31"/>
      <c r="C100" s="31"/>
      <c r="D100" s="31"/>
      <c r="E100" s="31"/>
      <c r="F100" s="31"/>
      <c r="G100" s="17" t="s">
        <v>82</v>
      </c>
      <c r="H100" s="17" t="s">
        <v>158</v>
      </c>
      <c r="I100" s="18">
        <f>242000</f>
        <v>242000</v>
      </c>
      <c r="J100" s="32">
        <f>137100</f>
        <v>137100</v>
      </c>
      <c r="K100" s="32"/>
      <c r="L100" s="32"/>
      <c r="M100" s="32"/>
      <c r="N100" s="49">
        <f>104900</f>
        <v>104900</v>
      </c>
      <c r="O100" s="49"/>
    </row>
    <row r="101" spans="1:15" s="1" customFormat="1" ht="13.5" customHeight="1">
      <c r="A101" s="31" t="s">
        <v>101</v>
      </c>
      <c r="B101" s="31"/>
      <c r="C101" s="31"/>
      <c r="D101" s="31"/>
      <c r="E101" s="31"/>
      <c r="F101" s="31"/>
      <c r="G101" s="17" t="s">
        <v>82</v>
      </c>
      <c r="H101" s="17" t="s">
        <v>159</v>
      </c>
      <c r="I101" s="18">
        <f>850000</f>
        <v>850000</v>
      </c>
      <c r="J101" s="32">
        <f>459526.6</f>
        <v>459526.6</v>
      </c>
      <c r="K101" s="32"/>
      <c r="L101" s="32"/>
      <c r="M101" s="32"/>
      <c r="N101" s="49">
        <f>390473.4</f>
        <v>390473.4</v>
      </c>
      <c r="O101" s="49"/>
    </row>
    <row r="102" spans="1:15" s="1" customFormat="1" ht="13.5" customHeight="1">
      <c r="A102" s="31" t="s">
        <v>160</v>
      </c>
      <c r="B102" s="31"/>
      <c r="C102" s="31"/>
      <c r="D102" s="31"/>
      <c r="E102" s="31"/>
      <c r="F102" s="31"/>
      <c r="G102" s="17" t="s">
        <v>82</v>
      </c>
      <c r="H102" s="17" t="s">
        <v>161</v>
      </c>
      <c r="I102" s="18">
        <f>1300000</f>
        <v>1300000</v>
      </c>
      <c r="J102" s="32">
        <f>860000</f>
        <v>860000</v>
      </c>
      <c r="K102" s="32"/>
      <c r="L102" s="32"/>
      <c r="M102" s="32"/>
      <c r="N102" s="49">
        <f>440000</f>
        <v>440000</v>
      </c>
      <c r="O102" s="49"/>
    </row>
    <row r="103" spans="1:15" s="1" customFormat="1" ht="13.5" customHeight="1">
      <c r="A103" s="31" t="s">
        <v>95</v>
      </c>
      <c r="B103" s="31"/>
      <c r="C103" s="31"/>
      <c r="D103" s="31"/>
      <c r="E103" s="31"/>
      <c r="F103" s="31"/>
      <c r="G103" s="17" t="s">
        <v>82</v>
      </c>
      <c r="H103" s="17" t="s">
        <v>162</v>
      </c>
      <c r="I103" s="18">
        <f>188044</f>
        <v>188044</v>
      </c>
      <c r="J103" s="32">
        <f>188044</f>
        <v>188044</v>
      </c>
      <c r="K103" s="32"/>
      <c r="L103" s="32"/>
      <c r="M103" s="32"/>
      <c r="N103" s="49">
        <f>0</f>
        <v>0</v>
      </c>
      <c r="O103" s="49"/>
    </row>
    <row r="104" spans="1:15" s="1" customFormat="1" ht="13.5" customHeight="1">
      <c r="A104" s="31" t="s">
        <v>97</v>
      </c>
      <c r="B104" s="31"/>
      <c r="C104" s="31"/>
      <c r="D104" s="31"/>
      <c r="E104" s="31"/>
      <c r="F104" s="31"/>
      <c r="G104" s="17" t="s">
        <v>82</v>
      </c>
      <c r="H104" s="17" t="s">
        <v>163</v>
      </c>
      <c r="I104" s="18">
        <f>2410</f>
        <v>2410</v>
      </c>
      <c r="J104" s="32">
        <f>2410</f>
        <v>2410</v>
      </c>
      <c r="K104" s="32"/>
      <c r="L104" s="32"/>
      <c r="M104" s="32"/>
      <c r="N104" s="49">
        <f>0</f>
        <v>0</v>
      </c>
      <c r="O104" s="49"/>
    </row>
    <row r="105" spans="1:15" s="1" customFormat="1" ht="13.5" customHeight="1">
      <c r="A105" s="31" t="s">
        <v>160</v>
      </c>
      <c r="B105" s="31"/>
      <c r="C105" s="31"/>
      <c r="D105" s="31"/>
      <c r="E105" s="31"/>
      <c r="F105" s="31"/>
      <c r="G105" s="17" t="s">
        <v>82</v>
      </c>
      <c r="H105" s="17" t="s">
        <v>164</v>
      </c>
      <c r="I105" s="18">
        <f>0</f>
        <v>0</v>
      </c>
      <c r="J105" s="32">
        <f>0</f>
        <v>0</v>
      </c>
      <c r="K105" s="32"/>
      <c r="L105" s="32"/>
      <c r="M105" s="32"/>
      <c r="N105" s="49">
        <f>0</f>
        <v>0</v>
      </c>
      <c r="O105" s="49"/>
    </row>
    <row r="106" spans="1:15" s="1" customFormat="1" ht="13.5" customHeight="1">
      <c r="A106" s="31" t="s">
        <v>160</v>
      </c>
      <c r="B106" s="31"/>
      <c r="C106" s="31"/>
      <c r="D106" s="31"/>
      <c r="E106" s="31"/>
      <c r="F106" s="31"/>
      <c r="G106" s="17" t="s">
        <v>82</v>
      </c>
      <c r="H106" s="17" t="s">
        <v>165</v>
      </c>
      <c r="I106" s="18">
        <f>326000</f>
        <v>326000</v>
      </c>
      <c r="J106" s="32">
        <f>214000</f>
        <v>214000</v>
      </c>
      <c r="K106" s="32"/>
      <c r="L106" s="32"/>
      <c r="M106" s="32"/>
      <c r="N106" s="49">
        <f>112000</f>
        <v>112000</v>
      </c>
      <c r="O106" s="49"/>
    </row>
    <row r="107" spans="1:15" s="1" customFormat="1" ht="13.5" customHeight="1">
      <c r="A107" s="31" t="s">
        <v>160</v>
      </c>
      <c r="B107" s="31"/>
      <c r="C107" s="31"/>
      <c r="D107" s="31"/>
      <c r="E107" s="31"/>
      <c r="F107" s="31"/>
      <c r="G107" s="17" t="s">
        <v>82</v>
      </c>
      <c r="H107" s="17" t="s">
        <v>166</v>
      </c>
      <c r="I107" s="18">
        <f>8413095</f>
        <v>8413095</v>
      </c>
      <c r="J107" s="32">
        <f>5174900</f>
        <v>5174900</v>
      </c>
      <c r="K107" s="32"/>
      <c r="L107" s="32"/>
      <c r="M107" s="32"/>
      <c r="N107" s="49">
        <f>3238195</f>
        <v>3238195</v>
      </c>
      <c r="O107" s="49"/>
    </row>
    <row r="108" spans="1:15" s="1" customFormat="1" ht="13.5" customHeight="1">
      <c r="A108" s="31" t="s">
        <v>160</v>
      </c>
      <c r="B108" s="31"/>
      <c r="C108" s="31"/>
      <c r="D108" s="31"/>
      <c r="E108" s="31"/>
      <c r="F108" s="31"/>
      <c r="G108" s="17" t="s">
        <v>82</v>
      </c>
      <c r="H108" s="17" t="s">
        <v>167</v>
      </c>
      <c r="I108" s="18">
        <f>39000</f>
        <v>39000</v>
      </c>
      <c r="J108" s="32">
        <f>20338.12</f>
        <v>20338.12</v>
      </c>
      <c r="K108" s="32"/>
      <c r="L108" s="32"/>
      <c r="M108" s="32"/>
      <c r="N108" s="49">
        <f>18661.88</f>
        <v>18661.88</v>
      </c>
      <c r="O108" s="49"/>
    </row>
    <row r="109" spans="1:15" s="1" customFormat="1" ht="13.5" customHeight="1">
      <c r="A109" s="31" t="s">
        <v>160</v>
      </c>
      <c r="B109" s="31"/>
      <c r="C109" s="31"/>
      <c r="D109" s="31"/>
      <c r="E109" s="31"/>
      <c r="F109" s="31"/>
      <c r="G109" s="17" t="s">
        <v>82</v>
      </c>
      <c r="H109" s="17" t="s">
        <v>168</v>
      </c>
      <c r="I109" s="18">
        <f>2194444</f>
        <v>2194444</v>
      </c>
      <c r="J109" s="32">
        <f>1366500</f>
        <v>1366500</v>
      </c>
      <c r="K109" s="32"/>
      <c r="L109" s="32"/>
      <c r="M109" s="32"/>
      <c r="N109" s="49">
        <f>827944</f>
        <v>827944</v>
      </c>
      <c r="O109" s="49"/>
    </row>
    <row r="110" spans="1:15" s="1" customFormat="1" ht="13.5" customHeight="1">
      <c r="A110" s="31" t="s">
        <v>160</v>
      </c>
      <c r="B110" s="31"/>
      <c r="C110" s="31"/>
      <c r="D110" s="31"/>
      <c r="E110" s="31"/>
      <c r="F110" s="31"/>
      <c r="G110" s="17" t="s">
        <v>82</v>
      </c>
      <c r="H110" s="17" t="s">
        <v>169</v>
      </c>
      <c r="I110" s="18">
        <f>70000</f>
        <v>70000</v>
      </c>
      <c r="J110" s="32">
        <f>70000</f>
        <v>70000</v>
      </c>
      <c r="K110" s="32"/>
      <c r="L110" s="32"/>
      <c r="M110" s="32"/>
      <c r="N110" s="49">
        <f>0</f>
        <v>0</v>
      </c>
      <c r="O110" s="49"/>
    </row>
    <row r="111" spans="1:15" s="1" customFormat="1" ht="13.5" customHeight="1">
      <c r="A111" s="31" t="s">
        <v>160</v>
      </c>
      <c r="B111" s="31"/>
      <c r="C111" s="31"/>
      <c r="D111" s="31"/>
      <c r="E111" s="31"/>
      <c r="F111" s="31"/>
      <c r="G111" s="17" t="s">
        <v>82</v>
      </c>
      <c r="H111" s="17" t="s">
        <v>170</v>
      </c>
      <c r="I111" s="18">
        <f>26901</f>
        <v>26901</v>
      </c>
      <c r="J111" s="32">
        <f>8082.83</f>
        <v>8082.83</v>
      </c>
      <c r="K111" s="32"/>
      <c r="L111" s="32"/>
      <c r="M111" s="32"/>
      <c r="N111" s="49">
        <f>18818.17</f>
        <v>18818.17</v>
      </c>
      <c r="O111" s="49"/>
    </row>
    <row r="112" spans="1:15" s="1" customFormat="1" ht="13.5" customHeight="1">
      <c r="A112" s="31" t="s">
        <v>160</v>
      </c>
      <c r="B112" s="31"/>
      <c r="C112" s="31"/>
      <c r="D112" s="31"/>
      <c r="E112" s="31"/>
      <c r="F112" s="31"/>
      <c r="G112" s="17" t="s">
        <v>82</v>
      </c>
      <c r="H112" s="17" t="s">
        <v>171</v>
      </c>
      <c r="I112" s="18">
        <f>1526300</f>
        <v>1526300</v>
      </c>
      <c r="J112" s="32">
        <f>897041.79</f>
        <v>897041.79</v>
      </c>
      <c r="K112" s="32"/>
      <c r="L112" s="32"/>
      <c r="M112" s="32"/>
      <c r="N112" s="49">
        <f>629258.21</f>
        <v>629258.21</v>
      </c>
      <c r="O112" s="49"/>
    </row>
    <row r="113" spans="1:15" s="1" customFormat="1" ht="13.5" customHeight="1">
      <c r="A113" s="31" t="s">
        <v>160</v>
      </c>
      <c r="B113" s="31"/>
      <c r="C113" s="31"/>
      <c r="D113" s="31"/>
      <c r="E113" s="31"/>
      <c r="F113" s="31"/>
      <c r="G113" s="17" t="s">
        <v>82</v>
      </c>
      <c r="H113" s="17" t="s">
        <v>172</v>
      </c>
      <c r="I113" s="18">
        <f>234360</f>
        <v>234360</v>
      </c>
      <c r="J113" s="32">
        <f>100498.19</f>
        <v>100498.19</v>
      </c>
      <c r="K113" s="32"/>
      <c r="L113" s="32"/>
      <c r="M113" s="32"/>
      <c r="N113" s="49">
        <f>133861.81</f>
        <v>133861.81</v>
      </c>
      <c r="O113" s="49"/>
    </row>
    <row r="114" spans="1:15" s="1" customFormat="1" ht="13.5" customHeight="1">
      <c r="A114" s="31" t="s">
        <v>103</v>
      </c>
      <c r="B114" s="31"/>
      <c r="C114" s="31"/>
      <c r="D114" s="31"/>
      <c r="E114" s="31"/>
      <c r="F114" s="31"/>
      <c r="G114" s="17" t="s">
        <v>82</v>
      </c>
      <c r="H114" s="17" t="s">
        <v>173</v>
      </c>
      <c r="I114" s="18">
        <f>33000</f>
        <v>33000</v>
      </c>
      <c r="J114" s="32">
        <f>18000</f>
        <v>18000</v>
      </c>
      <c r="K114" s="32"/>
      <c r="L114" s="32"/>
      <c r="M114" s="32"/>
      <c r="N114" s="49">
        <f>15000</f>
        <v>15000</v>
      </c>
      <c r="O114" s="49"/>
    </row>
    <row r="115" spans="1:15" s="1" customFormat="1" ht="13.5" customHeight="1">
      <c r="A115" s="31" t="s">
        <v>97</v>
      </c>
      <c r="B115" s="31"/>
      <c r="C115" s="31"/>
      <c r="D115" s="31"/>
      <c r="E115" s="31"/>
      <c r="F115" s="31"/>
      <c r="G115" s="17" t="s">
        <v>82</v>
      </c>
      <c r="H115" s="17" t="s">
        <v>174</v>
      </c>
      <c r="I115" s="18">
        <f>40903.6</f>
        <v>40903.6</v>
      </c>
      <c r="J115" s="32">
        <f>16340</f>
        <v>16340</v>
      </c>
      <c r="K115" s="32"/>
      <c r="L115" s="32"/>
      <c r="M115" s="32"/>
      <c r="N115" s="49">
        <f>24563.6</f>
        <v>24563.6</v>
      </c>
      <c r="O115" s="49"/>
    </row>
    <row r="116" spans="1:15" s="1" customFormat="1" ht="13.5" customHeight="1">
      <c r="A116" s="31" t="s">
        <v>103</v>
      </c>
      <c r="B116" s="31"/>
      <c r="C116" s="31"/>
      <c r="D116" s="31"/>
      <c r="E116" s="31"/>
      <c r="F116" s="31"/>
      <c r="G116" s="17" t="s">
        <v>82</v>
      </c>
      <c r="H116" s="17" t="s">
        <v>175</v>
      </c>
      <c r="I116" s="18">
        <f>596.4</f>
        <v>596.4</v>
      </c>
      <c r="J116" s="50" t="s">
        <v>40</v>
      </c>
      <c r="K116" s="50"/>
      <c r="L116" s="50"/>
      <c r="M116" s="50"/>
      <c r="N116" s="49">
        <f>596.4</f>
        <v>596.4</v>
      </c>
      <c r="O116" s="49"/>
    </row>
    <row r="117" spans="1:15" s="1" customFormat="1" ht="13.5" customHeight="1">
      <c r="A117" s="31" t="s">
        <v>176</v>
      </c>
      <c r="B117" s="31"/>
      <c r="C117" s="31"/>
      <c r="D117" s="31"/>
      <c r="E117" s="31"/>
      <c r="F117" s="31"/>
      <c r="G117" s="17" t="s">
        <v>82</v>
      </c>
      <c r="H117" s="17" t="s">
        <v>177</v>
      </c>
      <c r="I117" s="18">
        <f>2000</f>
        <v>2000</v>
      </c>
      <c r="J117" s="32">
        <f>2000</f>
        <v>2000</v>
      </c>
      <c r="K117" s="32"/>
      <c r="L117" s="32"/>
      <c r="M117" s="32"/>
      <c r="N117" s="49">
        <f>0</f>
        <v>0</v>
      </c>
      <c r="O117" s="49"/>
    </row>
    <row r="118" spans="1:15" s="1" customFormat="1" ht="13.5" customHeight="1">
      <c r="A118" s="31" t="s">
        <v>97</v>
      </c>
      <c r="B118" s="31"/>
      <c r="C118" s="31"/>
      <c r="D118" s="31"/>
      <c r="E118" s="31"/>
      <c r="F118" s="31"/>
      <c r="G118" s="17" t="s">
        <v>82</v>
      </c>
      <c r="H118" s="17" t="s">
        <v>178</v>
      </c>
      <c r="I118" s="18">
        <f>70000</f>
        <v>70000</v>
      </c>
      <c r="J118" s="32">
        <f>25100</f>
        <v>25100</v>
      </c>
      <c r="K118" s="32"/>
      <c r="L118" s="32"/>
      <c r="M118" s="32"/>
      <c r="N118" s="49">
        <f>44900</f>
        <v>44900</v>
      </c>
      <c r="O118" s="49"/>
    </row>
    <row r="119" spans="1:15" s="1" customFormat="1" ht="13.5" customHeight="1">
      <c r="A119" s="31" t="s">
        <v>176</v>
      </c>
      <c r="B119" s="31"/>
      <c r="C119" s="31"/>
      <c r="D119" s="31"/>
      <c r="E119" s="31"/>
      <c r="F119" s="31"/>
      <c r="G119" s="17" t="s">
        <v>82</v>
      </c>
      <c r="H119" s="17" t="s">
        <v>179</v>
      </c>
      <c r="I119" s="18">
        <f>240000</f>
        <v>240000</v>
      </c>
      <c r="J119" s="50" t="s">
        <v>40</v>
      </c>
      <c r="K119" s="50"/>
      <c r="L119" s="50"/>
      <c r="M119" s="50"/>
      <c r="N119" s="49">
        <f>240000</f>
        <v>240000</v>
      </c>
      <c r="O119" s="49"/>
    </row>
    <row r="120" spans="1:15" s="1" customFormat="1" ht="13.5" customHeight="1">
      <c r="A120" s="31" t="s">
        <v>160</v>
      </c>
      <c r="B120" s="31"/>
      <c r="C120" s="31"/>
      <c r="D120" s="31"/>
      <c r="E120" s="31"/>
      <c r="F120" s="31"/>
      <c r="G120" s="17" t="s">
        <v>82</v>
      </c>
      <c r="H120" s="17" t="s">
        <v>180</v>
      </c>
      <c r="I120" s="18">
        <f>837350</f>
        <v>837350</v>
      </c>
      <c r="J120" s="32">
        <f>550500</f>
        <v>550500</v>
      </c>
      <c r="K120" s="32"/>
      <c r="L120" s="32"/>
      <c r="M120" s="32"/>
      <c r="N120" s="49">
        <f>286850</f>
        <v>286850</v>
      </c>
      <c r="O120" s="49"/>
    </row>
    <row r="121" spans="1:15" s="1" customFormat="1" ht="13.5" customHeight="1">
      <c r="A121" s="31" t="s">
        <v>160</v>
      </c>
      <c r="B121" s="31"/>
      <c r="C121" s="31"/>
      <c r="D121" s="31"/>
      <c r="E121" s="31"/>
      <c r="F121" s="31"/>
      <c r="G121" s="17" t="s">
        <v>82</v>
      </c>
      <c r="H121" s="17" t="s">
        <v>181</v>
      </c>
      <c r="I121" s="18">
        <f>58900</f>
        <v>58900</v>
      </c>
      <c r="J121" s="32">
        <f>32176.96</f>
        <v>32176.96</v>
      </c>
      <c r="K121" s="32"/>
      <c r="L121" s="32"/>
      <c r="M121" s="32"/>
      <c r="N121" s="49">
        <f>26723.04</f>
        <v>26723.04</v>
      </c>
      <c r="O121" s="49"/>
    </row>
    <row r="122" spans="1:15" s="1" customFormat="1" ht="13.5" customHeight="1">
      <c r="A122" s="31" t="s">
        <v>160</v>
      </c>
      <c r="B122" s="31"/>
      <c r="C122" s="31"/>
      <c r="D122" s="31"/>
      <c r="E122" s="31"/>
      <c r="F122" s="31"/>
      <c r="G122" s="17" t="s">
        <v>82</v>
      </c>
      <c r="H122" s="17" t="s">
        <v>182</v>
      </c>
      <c r="I122" s="18">
        <f>202650</f>
        <v>202650</v>
      </c>
      <c r="J122" s="32">
        <f>130223.42</f>
        <v>130223.42</v>
      </c>
      <c r="K122" s="32"/>
      <c r="L122" s="32"/>
      <c r="M122" s="32"/>
      <c r="N122" s="49">
        <f>72426.58</f>
        <v>72426.58</v>
      </c>
      <c r="O122" s="49"/>
    </row>
    <row r="123" spans="1:15" s="1" customFormat="1" ht="13.5" customHeight="1">
      <c r="A123" s="31" t="s">
        <v>183</v>
      </c>
      <c r="B123" s="31"/>
      <c r="C123" s="31"/>
      <c r="D123" s="31"/>
      <c r="E123" s="31"/>
      <c r="F123" s="31"/>
      <c r="G123" s="17" t="s">
        <v>82</v>
      </c>
      <c r="H123" s="17" t="s">
        <v>184</v>
      </c>
      <c r="I123" s="18">
        <f>963000</f>
        <v>963000</v>
      </c>
      <c r="J123" s="32">
        <f>304238.53</f>
        <v>304238.53</v>
      </c>
      <c r="K123" s="32"/>
      <c r="L123" s="32"/>
      <c r="M123" s="32"/>
      <c r="N123" s="49">
        <f>658761.47</f>
        <v>658761.47</v>
      </c>
      <c r="O123" s="49"/>
    </row>
    <row r="124" spans="1:15" s="1" customFormat="1" ht="15" customHeight="1">
      <c r="A124" s="51" t="s">
        <v>185</v>
      </c>
      <c r="B124" s="51"/>
      <c r="C124" s="51"/>
      <c r="D124" s="51"/>
      <c r="E124" s="51"/>
      <c r="F124" s="51"/>
      <c r="G124" s="19" t="s">
        <v>186</v>
      </c>
      <c r="H124" s="19" t="s">
        <v>35</v>
      </c>
      <c r="I124" s="20">
        <f>-16384887.56</f>
        <v>-16384887.56</v>
      </c>
      <c r="J124" s="52">
        <f>866464.09</f>
        <v>866464.09</v>
      </c>
      <c r="K124" s="52"/>
      <c r="L124" s="52"/>
      <c r="M124" s="52"/>
      <c r="N124" s="53" t="s">
        <v>35</v>
      </c>
      <c r="O124" s="53"/>
    </row>
    <row r="125" spans="1:15" s="1" customFormat="1" ht="13.5" customHeight="1">
      <c r="A125" s="35" t="s">
        <v>10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s="1" customFormat="1" ht="13.5" customHeight="1">
      <c r="A126" s="37" t="s">
        <v>187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s="1" customFormat="1" ht="45.75" customHeight="1">
      <c r="A127" s="38" t="s">
        <v>21</v>
      </c>
      <c r="B127" s="38"/>
      <c r="C127" s="38"/>
      <c r="D127" s="38"/>
      <c r="E127" s="38"/>
      <c r="F127" s="38"/>
      <c r="G127" s="8" t="s">
        <v>22</v>
      </c>
      <c r="H127" s="8" t="s">
        <v>188</v>
      </c>
      <c r="I127" s="9" t="s">
        <v>24</v>
      </c>
      <c r="J127" s="39" t="s">
        <v>25</v>
      </c>
      <c r="K127" s="39"/>
      <c r="L127" s="39"/>
      <c r="M127" s="39"/>
      <c r="N127" s="40" t="s">
        <v>26</v>
      </c>
      <c r="O127" s="40"/>
    </row>
    <row r="128" spans="1:15" s="1" customFormat="1" ht="12.75" customHeight="1">
      <c r="A128" s="41" t="s">
        <v>27</v>
      </c>
      <c r="B128" s="41"/>
      <c r="C128" s="41"/>
      <c r="D128" s="41"/>
      <c r="E128" s="41"/>
      <c r="F128" s="41"/>
      <c r="G128" s="10" t="s">
        <v>28</v>
      </c>
      <c r="H128" s="10" t="s">
        <v>29</v>
      </c>
      <c r="I128" s="11" t="s">
        <v>30</v>
      </c>
      <c r="J128" s="42" t="s">
        <v>31</v>
      </c>
      <c r="K128" s="42"/>
      <c r="L128" s="42"/>
      <c r="M128" s="42"/>
      <c r="N128" s="43" t="s">
        <v>32</v>
      </c>
      <c r="O128" s="43"/>
    </row>
    <row r="129" spans="1:15" s="1" customFormat="1" ht="13.5" customHeight="1">
      <c r="A129" s="44" t="s">
        <v>189</v>
      </c>
      <c r="B129" s="44"/>
      <c r="C129" s="44"/>
      <c r="D129" s="44"/>
      <c r="E129" s="44"/>
      <c r="F129" s="44"/>
      <c r="G129" s="12" t="s">
        <v>190</v>
      </c>
      <c r="H129" s="12" t="s">
        <v>35</v>
      </c>
      <c r="I129" s="21">
        <f>16384887.56</f>
        <v>16384887.56</v>
      </c>
      <c r="J129" s="45">
        <f>-866464.09</f>
        <v>-866464.09</v>
      </c>
      <c r="K129" s="45"/>
      <c r="L129" s="45"/>
      <c r="M129" s="45"/>
      <c r="N129" s="54">
        <f>17251351.65</f>
        <v>17251351.65</v>
      </c>
      <c r="O129" s="54"/>
    </row>
    <row r="130" spans="1:15" s="1" customFormat="1" ht="13.5" customHeight="1">
      <c r="A130" s="55" t="s">
        <v>191</v>
      </c>
      <c r="B130" s="55"/>
      <c r="C130" s="55"/>
      <c r="D130" s="55"/>
      <c r="E130" s="55"/>
      <c r="F130" s="55"/>
      <c r="G130" s="22" t="s">
        <v>10</v>
      </c>
      <c r="H130" s="22" t="s">
        <v>10</v>
      </c>
      <c r="I130" s="23" t="s">
        <v>10</v>
      </c>
      <c r="J130" s="56" t="s">
        <v>10</v>
      </c>
      <c r="K130" s="56"/>
      <c r="L130" s="56"/>
      <c r="M130" s="56"/>
      <c r="N130" s="57" t="s">
        <v>10</v>
      </c>
      <c r="O130" s="57"/>
    </row>
    <row r="131" spans="1:15" s="1" customFormat="1" ht="13.5" customHeight="1">
      <c r="A131" s="47" t="s">
        <v>192</v>
      </c>
      <c r="B131" s="47"/>
      <c r="C131" s="47"/>
      <c r="D131" s="47"/>
      <c r="E131" s="47"/>
      <c r="F131" s="47"/>
      <c r="G131" s="24" t="s">
        <v>193</v>
      </c>
      <c r="H131" s="14" t="s">
        <v>35</v>
      </c>
      <c r="I131" s="25">
        <f>4550000</f>
        <v>4550000</v>
      </c>
      <c r="J131" s="48">
        <f>4550000</f>
        <v>4550000</v>
      </c>
      <c r="K131" s="48"/>
      <c r="L131" s="48"/>
      <c r="M131" s="48"/>
      <c r="N131" s="58">
        <f>0</f>
        <v>0</v>
      </c>
      <c r="O131" s="58"/>
    </row>
    <row r="132" spans="1:15" s="1" customFormat="1" ht="24" customHeight="1">
      <c r="A132" s="31" t="s">
        <v>194</v>
      </c>
      <c r="B132" s="31"/>
      <c r="C132" s="31"/>
      <c r="D132" s="31"/>
      <c r="E132" s="31"/>
      <c r="F132" s="31"/>
      <c r="G132" s="17" t="s">
        <v>193</v>
      </c>
      <c r="H132" s="17" t="s">
        <v>195</v>
      </c>
      <c r="I132" s="26">
        <f>14050000</f>
        <v>14050000</v>
      </c>
      <c r="J132" s="32">
        <f>14050000</f>
        <v>14050000</v>
      </c>
      <c r="K132" s="32"/>
      <c r="L132" s="32"/>
      <c r="M132" s="32"/>
      <c r="N132" s="59">
        <f>0</f>
        <v>0</v>
      </c>
      <c r="O132" s="59"/>
    </row>
    <row r="133" spans="1:15" s="1" customFormat="1" ht="24" customHeight="1">
      <c r="A133" s="31" t="s">
        <v>196</v>
      </c>
      <c r="B133" s="31"/>
      <c r="C133" s="31"/>
      <c r="D133" s="31"/>
      <c r="E133" s="31"/>
      <c r="F133" s="31"/>
      <c r="G133" s="17" t="s">
        <v>193</v>
      </c>
      <c r="H133" s="17" t="s">
        <v>197</v>
      </c>
      <c r="I133" s="26">
        <f>-9500000</f>
        <v>-9500000</v>
      </c>
      <c r="J133" s="32">
        <f>-9500000</f>
        <v>-9500000</v>
      </c>
      <c r="K133" s="32"/>
      <c r="L133" s="32"/>
      <c r="M133" s="32"/>
      <c r="N133" s="59">
        <f>0</f>
        <v>0</v>
      </c>
      <c r="O133" s="59"/>
    </row>
    <row r="134" spans="1:15" s="1" customFormat="1" ht="0.75" customHeight="1">
      <c r="A134" s="60" t="s">
        <v>10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</row>
    <row r="135" spans="1:15" s="1" customFormat="1" ht="13.5" customHeight="1">
      <c r="A135" s="31" t="s">
        <v>198</v>
      </c>
      <c r="B135" s="31"/>
      <c r="C135" s="31"/>
      <c r="D135" s="31"/>
      <c r="E135" s="31"/>
      <c r="F135" s="31"/>
      <c r="G135" s="22" t="s">
        <v>199</v>
      </c>
      <c r="H135" s="22" t="s">
        <v>35</v>
      </c>
      <c r="I135" s="23" t="s">
        <v>40</v>
      </c>
      <c r="J135" s="50" t="s">
        <v>40</v>
      </c>
      <c r="K135" s="50"/>
      <c r="L135" s="50"/>
      <c r="M135" s="50"/>
      <c r="N135" s="57" t="s">
        <v>40</v>
      </c>
      <c r="O135" s="57"/>
    </row>
    <row r="136" spans="1:15" s="1" customFormat="1" ht="13.5" customHeight="1">
      <c r="A136" s="31" t="s">
        <v>10</v>
      </c>
      <c r="B136" s="31"/>
      <c r="C136" s="31"/>
      <c r="D136" s="31"/>
      <c r="E136" s="31"/>
      <c r="F136" s="31"/>
      <c r="G136" s="17" t="s">
        <v>199</v>
      </c>
      <c r="H136" s="17" t="s">
        <v>10</v>
      </c>
      <c r="I136" s="27" t="s">
        <v>40</v>
      </c>
      <c r="J136" s="50" t="s">
        <v>40</v>
      </c>
      <c r="K136" s="50"/>
      <c r="L136" s="50"/>
      <c r="M136" s="50"/>
      <c r="N136" s="61" t="s">
        <v>40</v>
      </c>
      <c r="O136" s="61"/>
    </row>
    <row r="137" spans="1:15" s="1" customFormat="1" ht="13.5" customHeight="1">
      <c r="A137" s="31" t="s">
        <v>200</v>
      </c>
      <c r="B137" s="31"/>
      <c r="C137" s="31"/>
      <c r="D137" s="31"/>
      <c r="E137" s="31"/>
      <c r="F137" s="31"/>
      <c r="G137" s="17" t="s">
        <v>201</v>
      </c>
      <c r="H137" s="17" t="s">
        <v>202</v>
      </c>
      <c r="I137" s="26">
        <f>11834887.56</f>
        <v>11834887.56</v>
      </c>
      <c r="J137" s="32">
        <f>-5416464.09</f>
        <v>-5416464.09</v>
      </c>
      <c r="K137" s="32"/>
      <c r="L137" s="32"/>
      <c r="M137" s="32"/>
      <c r="N137" s="59">
        <f>17251351.65</f>
        <v>17251351.65</v>
      </c>
      <c r="O137" s="59"/>
    </row>
    <row r="138" spans="1:15" s="1" customFormat="1" ht="13.5" customHeight="1">
      <c r="A138" s="31" t="s">
        <v>203</v>
      </c>
      <c r="B138" s="31"/>
      <c r="C138" s="31"/>
      <c r="D138" s="31"/>
      <c r="E138" s="31"/>
      <c r="F138" s="31"/>
      <c r="G138" s="17" t="s">
        <v>204</v>
      </c>
      <c r="H138" s="17" t="s">
        <v>205</v>
      </c>
      <c r="I138" s="26">
        <f>-79855238.87</f>
        <v>-79855238.87</v>
      </c>
      <c r="J138" s="32">
        <f>-54080164.41</f>
        <v>-54080164.41</v>
      </c>
      <c r="K138" s="32"/>
      <c r="L138" s="32"/>
      <c r="M138" s="32"/>
      <c r="N138" s="62" t="s">
        <v>35</v>
      </c>
      <c r="O138" s="62"/>
    </row>
    <row r="139" spans="1:15" s="1" customFormat="1" ht="13.5" customHeight="1">
      <c r="A139" s="31" t="s">
        <v>206</v>
      </c>
      <c r="B139" s="31"/>
      <c r="C139" s="31"/>
      <c r="D139" s="31"/>
      <c r="E139" s="31"/>
      <c r="F139" s="31"/>
      <c r="G139" s="17" t="s">
        <v>207</v>
      </c>
      <c r="H139" s="17" t="s">
        <v>208</v>
      </c>
      <c r="I139" s="26">
        <f>91690126.43</f>
        <v>91690126.43</v>
      </c>
      <c r="J139" s="32">
        <f>48663700.32</f>
        <v>48663700.32</v>
      </c>
      <c r="K139" s="32"/>
      <c r="L139" s="32"/>
      <c r="M139" s="32"/>
      <c r="N139" s="62" t="s">
        <v>35</v>
      </c>
      <c r="O139" s="62"/>
    </row>
    <row r="140" spans="1:15" s="1" customFormat="1" ht="13.5" customHeight="1">
      <c r="A140" s="63" t="s">
        <v>10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</row>
    <row r="141" spans="1:15" s="1" customFormat="1" ht="15.75" customHeight="1">
      <c r="A141" s="35" t="s">
        <v>10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s="1" customFormat="1" ht="13.5" customHeight="1">
      <c r="A142" s="64" t="s">
        <v>210</v>
      </c>
      <c r="B142" s="65"/>
      <c r="C142" s="65"/>
      <c r="D142" s="65"/>
      <c r="E142" s="65"/>
      <c r="F142" s="35" t="s">
        <v>10</v>
      </c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s="1" customFormat="1" ht="13.5" customHeight="1">
      <c r="A143" s="34" t="s">
        <v>209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</sheetData>
  <mergeCells count="401">
    <mergeCell ref="A143:O143"/>
    <mergeCell ref="A140:O140"/>
    <mergeCell ref="A141:O141"/>
    <mergeCell ref="A142:E142"/>
    <mergeCell ref="F142:O142"/>
    <mergeCell ref="A138:F138"/>
    <mergeCell ref="J138:M138"/>
    <mergeCell ref="N138:O138"/>
    <mergeCell ref="A139:F139"/>
    <mergeCell ref="J139:M139"/>
    <mergeCell ref="N139:O139"/>
    <mergeCell ref="A136:F136"/>
    <mergeCell ref="J136:M136"/>
    <mergeCell ref="N136:O136"/>
    <mergeCell ref="A137:F137"/>
    <mergeCell ref="J137:M137"/>
    <mergeCell ref="N137:O137"/>
    <mergeCell ref="A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5:O125"/>
    <mergeCell ref="A126:O126"/>
    <mergeCell ref="A127:F127"/>
    <mergeCell ref="J127:M127"/>
    <mergeCell ref="N127:O127"/>
    <mergeCell ref="A123:F123"/>
    <mergeCell ref="J123:M123"/>
    <mergeCell ref="N123:O123"/>
    <mergeCell ref="A124:F124"/>
    <mergeCell ref="J124:M124"/>
    <mergeCell ref="N124:O124"/>
    <mergeCell ref="A121:F121"/>
    <mergeCell ref="J121:M121"/>
    <mergeCell ref="N121:O121"/>
    <mergeCell ref="A122:F122"/>
    <mergeCell ref="J122:M122"/>
    <mergeCell ref="N122:O122"/>
    <mergeCell ref="A119:F119"/>
    <mergeCell ref="J119:M119"/>
    <mergeCell ref="N119:O119"/>
    <mergeCell ref="A120:F120"/>
    <mergeCell ref="J120:M120"/>
    <mergeCell ref="N120:O120"/>
    <mergeCell ref="A117:F117"/>
    <mergeCell ref="J117:M117"/>
    <mergeCell ref="N117:O117"/>
    <mergeCell ref="A118:F118"/>
    <mergeCell ref="J118:M118"/>
    <mergeCell ref="N118:O118"/>
    <mergeCell ref="A115:F115"/>
    <mergeCell ref="J115:M115"/>
    <mergeCell ref="N115:O115"/>
    <mergeCell ref="A116:F116"/>
    <mergeCell ref="J116:M116"/>
    <mergeCell ref="N116:O116"/>
    <mergeCell ref="A113:F113"/>
    <mergeCell ref="J113:M113"/>
    <mergeCell ref="N113:O113"/>
    <mergeCell ref="A114:F114"/>
    <mergeCell ref="J114:M114"/>
    <mergeCell ref="N114:O114"/>
    <mergeCell ref="A111:F111"/>
    <mergeCell ref="J111:M111"/>
    <mergeCell ref="N111:O111"/>
    <mergeCell ref="A112:F112"/>
    <mergeCell ref="J112:M112"/>
    <mergeCell ref="N112:O112"/>
    <mergeCell ref="A109:F109"/>
    <mergeCell ref="J109:M109"/>
    <mergeCell ref="N109:O109"/>
    <mergeCell ref="A110:F110"/>
    <mergeCell ref="J110:M110"/>
    <mergeCell ref="N110:O110"/>
    <mergeCell ref="A107:F107"/>
    <mergeCell ref="J107:M107"/>
    <mergeCell ref="N107:O107"/>
    <mergeCell ref="A108:F108"/>
    <mergeCell ref="J108:M108"/>
    <mergeCell ref="N108:O108"/>
    <mergeCell ref="A105:F105"/>
    <mergeCell ref="J105:M105"/>
    <mergeCell ref="N105:O105"/>
    <mergeCell ref="A106:F106"/>
    <mergeCell ref="J106:M106"/>
    <mergeCell ref="N106:O106"/>
    <mergeCell ref="A103:F103"/>
    <mergeCell ref="J103:M103"/>
    <mergeCell ref="N103:O103"/>
    <mergeCell ref="A104:F104"/>
    <mergeCell ref="J104:M104"/>
    <mergeCell ref="N104:O104"/>
    <mergeCell ref="A101:F101"/>
    <mergeCell ref="J101:M101"/>
    <mergeCell ref="N101:O101"/>
    <mergeCell ref="A102:F102"/>
    <mergeCell ref="J102:M102"/>
    <mergeCell ref="N102:O102"/>
    <mergeCell ref="A99:F99"/>
    <mergeCell ref="J99:M99"/>
    <mergeCell ref="N99:O99"/>
    <mergeCell ref="A100:F100"/>
    <mergeCell ref="J100:M100"/>
    <mergeCell ref="N100:O100"/>
    <mergeCell ref="A97:F97"/>
    <mergeCell ref="J97:M97"/>
    <mergeCell ref="N97:O97"/>
    <mergeCell ref="A98:F98"/>
    <mergeCell ref="J98:M98"/>
    <mergeCell ref="N98:O98"/>
    <mergeCell ref="A95:F95"/>
    <mergeCell ref="J95:M95"/>
    <mergeCell ref="N95:O95"/>
    <mergeCell ref="A96:F96"/>
    <mergeCell ref="J96:M96"/>
    <mergeCell ref="N96:O96"/>
    <mergeCell ref="A93:F93"/>
    <mergeCell ref="J93:M93"/>
    <mergeCell ref="N93:O93"/>
    <mergeCell ref="A94:F94"/>
    <mergeCell ref="J94:M94"/>
    <mergeCell ref="N94:O94"/>
    <mergeCell ref="A91:F91"/>
    <mergeCell ref="J91:M91"/>
    <mergeCell ref="N91:O91"/>
    <mergeCell ref="A92:F92"/>
    <mergeCell ref="J92:M92"/>
    <mergeCell ref="N92:O92"/>
    <mergeCell ref="A89:F89"/>
    <mergeCell ref="J89:M89"/>
    <mergeCell ref="N89:O89"/>
    <mergeCell ref="A90:F90"/>
    <mergeCell ref="J90:M90"/>
    <mergeCell ref="N90:O90"/>
    <mergeCell ref="A87:F87"/>
    <mergeCell ref="J87:M87"/>
    <mergeCell ref="N87:O87"/>
    <mergeCell ref="A88:F88"/>
    <mergeCell ref="J88:M88"/>
    <mergeCell ref="N88:O88"/>
    <mergeCell ref="A85:F85"/>
    <mergeCell ref="J85:M85"/>
    <mergeCell ref="N85:O85"/>
    <mergeCell ref="A86:F86"/>
    <mergeCell ref="J86:M86"/>
    <mergeCell ref="N86:O86"/>
    <mergeCell ref="A83:F83"/>
    <mergeCell ref="J83:M83"/>
    <mergeCell ref="N83:O83"/>
    <mergeCell ref="A84:F84"/>
    <mergeCell ref="J84:M84"/>
    <mergeCell ref="N84:O84"/>
    <mergeCell ref="A81:F81"/>
    <mergeCell ref="J81:M81"/>
    <mergeCell ref="N81:O81"/>
    <mergeCell ref="A82:F82"/>
    <mergeCell ref="J82:M82"/>
    <mergeCell ref="N82:O82"/>
    <mergeCell ref="A79:F79"/>
    <mergeCell ref="J79:M79"/>
    <mergeCell ref="N79:O79"/>
    <mergeCell ref="A80:F80"/>
    <mergeCell ref="J80:M80"/>
    <mergeCell ref="N80:O80"/>
    <mergeCell ref="A77:F77"/>
    <mergeCell ref="J77:M77"/>
    <mergeCell ref="N77:O77"/>
    <mergeCell ref="A78:F78"/>
    <mergeCell ref="J78:M78"/>
    <mergeCell ref="N78:O78"/>
    <mergeCell ref="A75:F75"/>
    <mergeCell ref="J75:M75"/>
    <mergeCell ref="N75:O75"/>
    <mergeCell ref="A76:F76"/>
    <mergeCell ref="J76:M76"/>
    <mergeCell ref="N76:O76"/>
    <mergeCell ref="A73:F73"/>
    <mergeCell ref="J73:M73"/>
    <mergeCell ref="N73:O73"/>
    <mergeCell ref="A74:F74"/>
    <mergeCell ref="J74:M74"/>
    <mergeCell ref="N74:O74"/>
    <mergeCell ref="A71:F71"/>
    <mergeCell ref="J71:M71"/>
    <mergeCell ref="N71:O71"/>
    <mergeCell ref="A72:F72"/>
    <mergeCell ref="J72:M72"/>
    <mergeCell ref="N72:O72"/>
    <mergeCell ref="A69:F69"/>
    <mergeCell ref="J69:M69"/>
    <mergeCell ref="N69:O69"/>
    <mergeCell ref="A70:F70"/>
    <mergeCell ref="J70:M70"/>
    <mergeCell ref="N70:O70"/>
    <mergeCell ref="A67:F67"/>
    <mergeCell ref="J67:M67"/>
    <mergeCell ref="N67:O67"/>
    <mergeCell ref="A68:F68"/>
    <mergeCell ref="J68:M68"/>
    <mergeCell ref="N68:O68"/>
    <mergeCell ref="A65:F65"/>
    <mergeCell ref="J65:M65"/>
    <mergeCell ref="N65:O65"/>
    <mergeCell ref="A66:F66"/>
    <mergeCell ref="J66:M66"/>
    <mergeCell ref="N66:O66"/>
    <mergeCell ref="A63:F63"/>
    <mergeCell ref="J63:M63"/>
    <mergeCell ref="N63:O63"/>
    <mergeCell ref="A64:F64"/>
    <mergeCell ref="J64:M64"/>
    <mergeCell ref="N64:O64"/>
    <mergeCell ref="A61:F61"/>
    <mergeCell ref="J61:M61"/>
    <mergeCell ref="N61:O61"/>
    <mergeCell ref="A62:F62"/>
    <mergeCell ref="J62:M62"/>
    <mergeCell ref="N62:O62"/>
    <mergeCell ref="A59:F59"/>
    <mergeCell ref="J59:M59"/>
    <mergeCell ref="N59:O59"/>
    <mergeCell ref="A60:F60"/>
    <mergeCell ref="J60:M60"/>
    <mergeCell ref="N60:O60"/>
    <mergeCell ref="A57:F57"/>
    <mergeCell ref="J57:M57"/>
    <mergeCell ref="N57:O57"/>
    <mergeCell ref="A58:F58"/>
    <mergeCell ref="J58:M58"/>
    <mergeCell ref="N58:O58"/>
    <mergeCell ref="A55:F55"/>
    <mergeCell ref="J55:M55"/>
    <mergeCell ref="N55:O55"/>
    <mergeCell ref="A56:F56"/>
    <mergeCell ref="J56:M56"/>
    <mergeCell ref="N56:O56"/>
    <mergeCell ref="A53:F53"/>
    <mergeCell ref="J53:M53"/>
    <mergeCell ref="N53:O53"/>
    <mergeCell ref="A54:F54"/>
    <mergeCell ref="J54:M54"/>
    <mergeCell ref="N54:O54"/>
    <mergeCell ref="A51:F51"/>
    <mergeCell ref="J51:M51"/>
    <mergeCell ref="N51:O51"/>
    <mergeCell ref="A52:F52"/>
    <mergeCell ref="J52:M52"/>
    <mergeCell ref="N52:O52"/>
    <mergeCell ref="A49:F49"/>
    <mergeCell ref="J49:M49"/>
    <mergeCell ref="N49:O49"/>
    <mergeCell ref="A50:F50"/>
    <mergeCell ref="J50:M50"/>
    <mergeCell ref="N50:O50"/>
    <mergeCell ref="A47:F47"/>
    <mergeCell ref="J47:M47"/>
    <mergeCell ref="N47:O47"/>
    <mergeCell ref="A48:F48"/>
    <mergeCell ref="J48:M48"/>
    <mergeCell ref="N48:O48"/>
    <mergeCell ref="A45:F45"/>
    <mergeCell ref="J45:M45"/>
    <mergeCell ref="N45:O45"/>
    <mergeCell ref="A46:F46"/>
    <mergeCell ref="J46:M46"/>
    <mergeCell ref="N46:O46"/>
    <mergeCell ref="A43:F43"/>
    <mergeCell ref="J43:M43"/>
    <mergeCell ref="N43:O43"/>
    <mergeCell ref="A44:F44"/>
    <mergeCell ref="J44:M44"/>
    <mergeCell ref="N44:O44"/>
    <mergeCell ref="A41:F41"/>
    <mergeCell ref="J41:M41"/>
    <mergeCell ref="N41:O41"/>
    <mergeCell ref="A42:F42"/>
    <mergeCell ref="J42:M42"/>
    <mergeCell ref="N42:O42"/>
    <mergeCell ref="A39:F39"/>
    <mergeCell ref="J39:M39"/>
    <mergeCell ref="N39:O39"/>
    <mergeCell ref="A40:F40"/>
    <mergeCell ref="J40:M40"/>
    <mergeCell ref="N40:O40"/>
    <mergeCell ref="A37:F37"/>
    <mergeCell ref="J37:M37"/>
    <mergeCell ref="N37:O37"/>
    <mergeCell ref="A38:F38"/>
    <mergeCell ref="J38:M38"/>
    <mergeCell ref="N38:O38"/>
    <mergeCell ref="A34:O34"/>
    <mergeCell ref="A35:O35"/>
    <mergeCell ref="A36:F36"/>
    <mergeCell ref="J36:M36"/>
    <mergeCell ref="N36:O36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4" max="255" man="1"/>
    <brk id="12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первой категории </cp:lastModifiedBy>
  <dcterms:created xsi:type="dcterms:W3CDTF">2014-04-08T05:32:46Z</dcterms:created>
  <dcterms:modified xsi:type="dcterms:W3CDTF">2014-04-08T06:21:10Z</dcterms:modified>
  <cp:category/>
  <cp:version/>
  <cp:contentType/>
  <cp:contentStatus/>
</cp:coreProperties>
</file>