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<sst xmlns="http://schemas.openxmlformats.org/spreadsheetml/2006/main" count="589" uniqueCount="257">
  <si>
    <t>ОТЧЕТ ОБ ИСПОЛНЕНИИ БЮДЖЕТА</t>
  </si>
  <si>
    <t>КОДЫ</t>
  </si>
  <si>
    <t xml:space="preserve">Форма по ОКУД </t>
  </si>
  <si>
    <t>0503117</t>
  </si>
  <si>
    <t>на 1 января 2015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</si>
  <si>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</si>
  <si>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</si>
  <si>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</si>
  <si>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</si>
  <si>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</si>
  <si>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</si>
  <si>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</si>
  <si>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</si>
  <si>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</si>
  <si>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</si>
  <si>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</si>
  <si>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</si>
  <si>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</si>
  <si>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</si>
  <si>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</si>
  <si>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</si>
  <si>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</si>
  <si>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</si>
  <si>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</si>
  <si>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</si>
  <si>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</si>
  <si>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</si>
  <si>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</si>
  <si>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</si>
  <si>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</si>
  <si>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</si>
  <si>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</si>
  <si>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</si>
  <si>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</si>
  <si>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</si>
  <si>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</si>
  <si>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</si>
  <si>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</si>
  <si>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</si>
  <si>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</si>
  <si>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</si>
  <si>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</si>
  <si>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</si>
  <si>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</si>
  <si>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</si>
  <si>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</si>
  <si>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</si>
  <si>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</si>
  <si>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</si>
  <si>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</si>
  <si>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</si>
  <si>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</si>
  <si>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</si>
  <si>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</si>
  <si>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</si>
  <si>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</si>
  <si>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</si>
  <si>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</si>
  <si>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</si>
  <si>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</si>
  <si>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</si>
  <si>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</si>
  <si>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</si>
  <si>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</si>
  <si>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</si>
  <si>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</si>
  <si>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</si>
  <si>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</si>
  <si>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902 11406013 10 0000 430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</si>
  <si>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</si>
  <si>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</si>
  <si>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</si>
  <si>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</si>
  <si>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поселений</t>
  </si>
  <si>
    <t>992 11302995 10 0000 130</t>
  </si>
  <si>
    <t>Невыясненные поступления, зачисляемые в бюджеты поселений</t>
  </si>
  <si>
    <t>992 11701050 10 0000 180</t>
  </si>
  <si>
    <t>Субсидии бюджетам поселений на реализацию федеральных целевых программ</t>
  </si>
  <si>
    <t>992 20202051 10 0000 151</t>
  </si>
  <si>
    <t>Прочие субсидии бюджетам поселений</t>
  </si>
  <si>
    <t>992 20202999 10 0000 151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</si>
  <si>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</si>
  <si>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</si>
  <si>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</si>
  <si>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</si>
  <si>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Прочие безвозмездные поступления в бюджеты поселений</t>
  </si>
  <si>
    <t>992 20705030 10 0000 180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</si>
  <si>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</si>
  <si>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</si>
  <si>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</si>
  <si>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</si>
  <si>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</si>
  <si>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</si>
  <si>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</si>
  <si>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</si>
  <si>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</si>
  <si>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991 0106 6130019 540 251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</si>
  <si>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</si>
  <si>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</si>
  <si>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</si>
  <si>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</si>
  <si>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</si>
  <si>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</si>
  <si>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Прочие выплаты</t>
  </si>
  <si>
    <t>992 0104 5110019 122 212</t>
  </si>
  <si>
    <t>Услуги связи</t>
  </si>
  <si>
    <t>992 0104 5110019 242 221</t>
  </si>
  <si>
    <t>Арендная плата за пользование имуществом</t>
  </si>
  <si>
    <t>992 0104 5110019 242 224</t>
  </si>
  <si>
    <t>Прочие работы, услуги</t>
  </si>
  <si>
    <t>992 0104 5110019 242 226</t>
  </si>
  <si>
    <t>992 0104 5110019 244 221</t>
  </si>
  <si>
    <t>Коммунальные услуги</t>
  </si>
  <si>
    <t>992 0104 5110019 244 223</t>
  </si>
  <si>
    <t>992 0104 5110019 244 224</t>
  </si>
  <si>
    <t>Работы, услуги по содержанию имущества</t>
  </si>
  <si>
    <t>992 0104 5110019 244 225</t>
  </si>
  <si>
    <t>992 0104 5110019 244 226</t>
  </si>
  <si>
    <t>Прочие расходы</t>
  </si>
  <si>
    <t>992 0104 5110019 244 290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</si>
  <si>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</si>
  <si>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</si>
  <si>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</si>
  <si>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</si>
  <si>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992 0104 5110019 850 290</t>
  </si>
  <si>
    <t>992 0104 5110019 851 290</t>
  </si>
  <si>
    <t>992 0104 5110019 852 290</t>
  </si>
  <si>
    <t>992 0104 5126019 244 340</t>
  </si>
  <si>
    <t>992 0106 6130019 540 251</t>
  </si>
  <si>
    <t>992 0107 5131001 244 226</t>
  </si>
  <si>
    <t>992 0107 5131001 244 290</t>
  </si>
  <si>
    <t>992 0111 5142059 870 290</t>
  </si>
  <si>
    <t>Транспортные услуги</t>
  </si>
  <si>
    <t>992 0113 5151005 244 222</t>
  </si>
  <si>
    <t>992 0113 5151005 244 224</t>
  </si>
  <si>
    <t>992 0113 5151005 244 226</t>
  </si>
  <si>
    <t>992 0113 5151005 244 290</t>
  </si>
  <si>
    <t>992 0113 5151005 244 340</t>
  </si>
  <si>
    <t>992 0113 5171002 350 290</t>
  </si>
  <si>
    <t>992 0113 5171002 360 290</t>
  </si>
  <si>
    <t>992 0309 5411054 244 226</t>
  </si>
  <si>
    <t>992 0309 5411054 244 310</t>
  </si>
  <si>
    <t>992 0309 5411054 244 340</t>
  </si>
  <si>
    <t>992 0309 5411055 244 340</t>
  </si>
  <si>
    <t>992 0309 5416006 244 226</t>
  </si>
  <si>
    <t>992 0310 5421028 244 340</t>
  </si>
  <si>
    <t>992 0314 5430956 244 226</t>
  </si>
  <si>
    <t>992 0314 5430956 244 340</t>
  </si>
  <si>
    <t>992 0405 5511003 244 340</t>
  </si>
  <si>
    <t>992 0406 5521004 244 340</t>
  </si>
  <si>
    <t>992 0407 5531050 244 340</t>
  </si>
  <si>
    <t>992 0409 5541043 243 225</t>
  </si>
  <si>
    <t>992 0409 5541043 244 225</t>
  </si>
  <si>
    <t>992 0409 5541043 244 226</t>
  </si>
  <si>
    <t>992 0409 5541043 244 310</t>
  </si>
  <si>
    <t>992 0409 5541043 244 340</t>
  </si>
  <si>
    <t>992 0409 5546027 244 225</t>
  </si>
  <si>
    <t>992 0412 5621102 244 226</t>
  </si>
  <si>
    <t>992 0501 5711006 244 225</t>
  </si>
  <si>
    <t>992 0502 5721027 421 226</t>
  </si>
  <si>
    <t>992 0502 5721027 421 310</t>
  </si>
  <si>
    <t>992 0502 5721077 244 225</t>
  </si>
  <si>
    <t>992 0502 5721077 244 226</t>
  </si>
  <si>
    <t>992 0502 5721077 244 310</t>
  </si>
  <si>
    <t>992 0502 5725109 414 226</t>
  </si>
  <si>
    <t>992 0502 5725109 414 310</t>
  </si>
  <si>
    <t>992 0502 5725109 421 310</t>
  </si>
  <si>
    <t>992 0502 5726033 414 226</t>
  </si>
  <si>
    <t>992 0502 5726033 414 310</t>
  </si>
  <si>
    <t>992 0502 5726033 421 226</t>
  </si>
  <si>
    <t>992 0502 5726033 421 310</t>
  </si>
  <si>
    <t>992 0502 5726238 244 225</t>
  </si>
  <si>
    <t>992 0502 5726238 244 226</t>
  </si>
  <si>
    <t>992 0502 5726239 244 310</t>
  </si>
  <si>
    <t>992 0502 5726562 244 226</t>
  </si>
  <si>
    <t>992 0502 5726738 244 225</t>
  </si>
  <si>
    <t>992 0502 5726738 244 226</t>
  </si>
  <si>
    <t>992 0502 5726739 244 310</t>
  </si>
  <si>
    <t>992 0503 5731001 244 223</t>
  </si>
  <si>
    <t>992 0503 5731001 244 225</t>
  </si>
  <si>
    <t>992 0503 5731001 244 226</t>
  </si>
  <si>
    <t>992 0503 5731001 244 290</t>
  </si>
  <si>
    <t>992 0503 5731001 244 340</t>
  </si>
  <si>
    <t>992 0503 5731001 831 290</t>
  </si>
  <si>
    <t>992 0503 5731002 244 225</t>
  </si>
  <si>
    <t>992 0503 5731002 244 340</t>
  </si>
  <si>
    <t>992 0503 5731003 244 225</t>
  </si>
  <si>
    <t>992 0503 5731003 244 310</t>
  </si>
  <si>
    <t>992 0503 5731004 244 222</t>
  </si>
  <si>
    <t>992 0503 5731004 244 223</t>
  </si>
  <si>
    <t>992 0503 5731004 244 224</t>
  </si>
  <si>
    <t>992 0503 5731004 244 225</t>
  </si>
  <si>
    <t>992 0503 5731004 244 226</t>
  </si>
  <si>
    <t>992 0503 5731004 244 310</t>
  </si>
  <si>
    <t>992 0503 5731004 244 340</t>
  </si>
  <si>
    <t>Безвозмездные перечисления государственным и муниципальным организациям</t>
  </si>
  <si>
    <t>992 0503 5731004 621 241</t>
  </si>
  <si>
    <t>992 0503 5736005 244 225</t>
  </si>
  <si>
    <t>992 0503 5736005 244 226</t>
  </si>
  <si>
    <t>992 0503 5736017 244 225</t>
  </si>
  <si>
    <t>992 0707 6231090 621 241</t>
  </si>
  <si>
    <t>992 0801 6310059 621 241</t>
  </si>
  <si>
    <t>992 0801 6311139 622 241</t>
  </si>
  <si>
    <t>992 0801 6316012 621 241</t>
  </si>
  <si>
    <t>992 0801 6316012 622 241</t>
  </si>
  <si>
    <t>992 0801 6316512 621 241</t>
  </si>
  <si>
    <t>992 0801 6316603 622 241</t>
  </si>
  <si>
    <t>992 0801 6340059 621 241</t>
  </si>
  <si>
    <t>992 0801 6341139 622 241</t>
  </si>
  <si>
    <t>992 0801 6346012 621 241</t>
  </si>
  <si>
    <t>992 0801 6346012 622 241</t>
  </si>
  <si>
    <t>992 0801 6346512 621 241</t>
  </si>
  <si>
    <t>992 1003 5931001 244 290</t>
  </si>
  <si>
    <t>992 1003 5931001 360 226</t>
  </si>
  <si>
    <t>992 1003 5931001 360 290</t>
  </si>
  <si>
    <t>992 1003 5931154 360 226</t>
  </si>
  <si>
    <t>992 1003 5931154 360 290</t>
  </si>
  <si>
    <t>992 1003 5931157 360 226</t>
  </si>
  <si>
    <t>Пособия по социальной помощи населению</t>
  </si>
  <si>
    <t>992 1003 5945020 322 262</t>
  </si>
  <si>
    <t>992 1003 5947020 322 262</t>
  </si>
  <si>
    <t>992 1003 5948020 322 262</t>
  </si>
  <si>
    <t>992 1101 6411067 621 241</t>
  </si>
  <si>
    <t>992 1102 6421069 622 241</t>
  </si>
  <si>
    <t>Обслуживание внутреннего долга</t>
  </si>
  <si>
    <t>992 1301 5181052 710 231</t>
  </si>
  <si>
    <t>992 1301 5181052 730 231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</si>
  <si>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</si>
  <si>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</si>
  <si>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</si>
  <si>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</si>
  <si>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</si>
  <si>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</si>
  <si>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</si>
  <si>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</si>
  <si>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</si>
  <si>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</si>
  <si>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992 01030100 10 0000 710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</si>
  <si>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</si>
  <si>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</si>
  <si>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</si>
  <si>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</si>
  <si>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</si>
  <si>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</si>
  <si>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</si>
  <si>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</si>
  <si>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</si>
  <si>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</si>
  <si>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</si>
  <si>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</si>
  <si>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</si>
  <si>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</si>
  <si>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</si>
  <si>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</si>
  <si>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</si>
  <si>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16 января 2015 г.   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</si>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</sst>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zoomScalePageLayoutView="0" workbookViewId="0" topLeftCell="A7">
      <selection activeCell="A182" sqref="A182:E18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18.57421875" style="1" customWidth="1"/>
    <col min="13" max="14" width="2.7109375" style="1" customWidth="1"/>
    <col min="15" max="15" width="10.8515625" style="1" customWidth="1"/>
    <col min="16" max="16" width="6.0039062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42005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10</v>
      </c>
    </row>
    <row r="7" spans="1:21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18</v>
      </c>
      <c r="R8" s="4"/>
      <c r="S8" s="4"/>
      <c r="T8" s="4"/>
      <c r="U8" s="11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 t="s">
        <v>22</v>
      </c>
      <c r="J10" s="13"/>
      <c r="K10" s="13" t="s">
        <v>23</v>
      </c>
      <c r="L10" s="13"/>
      <c r="M10" s="14" t="s">
        <v>24</v>
      </c>
      <c r="N10" s="14"/>
      <c r="O10" s="14"/>
      <c r="P10" s="14" t="s">
        <v>25</v>
      </c>
      <c r="Q10" s="14"/>
      <c r="R10" s="14"/>
      <c r="S10" s="14"/>
      <c r="T10" s="15" t="s">
        <v>26</v>
      </c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6" t="s">
        <v>29</v>
      </c>
      <c r="L11" s="16"/>
      <c r="M11" s="17" t="s">
        <v>30</v>
      </c>
      <c r="N11" s="17"/>
      <c r="O11" s="17"/>
      <c r="P11" s="17" t="s">
        <v>31</v>
      </c>
      <c r="Q11" s="17"/>
      <c r="R11" s="17"/>
      <c r="S11" s="17"/>
      <c r="T11" s="18" t="s">
        <v>32</v>
      </c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20" t="s">
        <v>34</v>
      </c>
      <c r="J12" s="20"/>
      <c r="K12" s="20" t="s">
        <v>35</v>
      </c>
      <c r="L12" s="20"/>
      <c r="M12" s="21">
        <f>82450265.8</f>
        <v>82450265.8</v>
      </c>
      <c r="N12" s="21"/>
      <c r="O12" s="21"/>
      <c r="P12" s="21">
        <f>86114400.54</f>
        <v>86114400.54</v>
      </c>
      <c r="Q12" s="21"/>
      <c r="R12" s="21"/>
      <c r="S12" s="21"/>
      <c r="T12" s="22">
        <f>-3664134.74</f>
        <v>-3664134.74</v>
      </c>
      <c r="U12" s="22"/>
    </row>
    <row r="13" spans="1:21" s="1" customFormat="1" ht="38.2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4" t="s">
        <v>34</v>
      </c>
      <c r="J13" s="24"/>
      <c r="K13" s="24" t="s">
        <v>37</v>
      </c>
      <c r="L13" s="24"/>
      <c r="M13" s="25">
        <f>1908800</f>
        <v>1908800</v>
      </c>
      <c r="N13" s="25"/>
      <c r="O13" s="25"/>
      <c r="P13" s="25">
        <f>1998341.89</f>
        <v>1998341.89</v>
      </c>
      <c r="Q13" s="25"/>
      <c r="R13" s="25"/>
      <c r="S13" s="25"/>
      <c r="T13" s="26">
        <f>-89541.89</f>
        <v>-89541.89</v>
      </c>
      <c r="U13" s="26"/>
    </row>
    <row r="14" spans="1:21" s="1" customFormat="1" ht="48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4" t="s">
        <v>34</v>
      </c>
      <c r="J14" s="24"/>
      <c r="K14" s="24" t="s">
        <v>39</v>
      </c>
      <c r="L14" s="24"/>
      <c r="M14" s="25">
        <f>44000</f>
        <v>44000</v>
      </c>
      <c r="N14" s="25"/>
      <c r="O14" s="25"/>
      <c r="P14" s="25">
        <f>45013.05</f>
        <v>45013.05</v>
      </c>
      <c r="Q14" s="25"/>
      <c r="R14" s="25"/>
      <c r="S14" s="25"/>
      <c r="T14" s="26">
        <f>-1013.05</f>
        <v>-1013.05</v>
      </c>
      <c r="U14" s="26"/>
    </row>
    <row r="15" spans="1:21" s="1" customFormat="1" ht="38.25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4" t="s">
        <v>34</v>
      </c>
      <c r="J15" s="24"/>
      <c r="K15" s="24" t="s">
        <v>41</v>
      </c>
      <c r="L15" s="24"/>
      <c r="M15" s="25">
        <f>3312300</f>
        <v>3312300</v>
      </c>
      <c r="N15" s="25"/>
      <c r="O15" s="25"/>
      <c r="P15" s="25">
        <f>3423389.92</f>
        <v>3423389.92</v>
      </c>
      <c r="Q15" s="25"/>
      <c r="R15" s="25"/>
      <c r="S15" s="25"/>
      <c r="T15" s="26">
        <f>-111089.92</f>
        <v>-111089.92</v>
      </c>
      <c r="U15" s="26"/>
    </row>
    <row r="16" spans="1:21" s="1" customFormat="1" ht="38.25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4" t="s">
        <v>34</v>
      </c>
      <c r="J16" s="24"/>
      <c r="K16" s="24" t="s">
        <v>43</v>
      </c>
      <c r="L16" s="24"/>
      <c r="M16" s="27" t="s">
        <v>44</v>
      </c>
      <c r="N16" s="27"/>
      <c r="O16" s="27"/>
      <c r="P16" s="25">
        <f>-171961.6</f>
        <v>-171961.6</v>
      </c>
      <c r="Q16" s="25"/>
      <c r="R16" s="25"/>
      <c r="S16" s="25"/>
      <c r="T16" s="26">
        <f>0</f>
        <v>0</v>
      </c>
      <c r="U16" s="26"/>
    </row>
    <row r="17" spans="1:21" s="1" customFormat="1" ht="3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4" t="s">
        <v>34</v>
      </c>
      <c r="J17" s="24"/>
      <c r="K17" s="24" t="s">
        <v>46</v>
      </c>
      <c r="L17" s="24"/>
      <c r="M17" s="25">
        <f>20690000</f>
        <v>20690000</v>
      </c>
      <c r="N17" s="25"/>
      <c r="O17" s="25"/>
      <c r="P17" s="25">
        <f>22287818.08</f>
        <v>22287818.08</v>
      </c>
      <c r="Q17" s="25"/>
      <c r="R17" s="25"/>
      <c r="S17" s="25"/>
      <c r="T17" s="26">
        <f>-1597818.08</f>
        <v>-1597818.08</v>
      </c>
      <c r="U17" s="26"/>
    </row>
    <row r="18" spans="1:21" s="1" customFormat="1" ht="58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4" t="s">
        <v>34</v>
      </c>
      <c r="J18" s="24"/>
      <c r="K18" s="24" t="s">
        <v>48</v>
      </c>
      <c r="L18" s="24"/>
      <c r="M18" s="25">
        <f>280000</f>
        <v>280000</v>
      </c>
      <c r="N18" s="25"/>
      <c r="O18" s="25"/>
      <c r="P18" s="25">
        <f>297297.2</f>
        <v>297297.2</v>
      </c>
      <c r="Q18" s="25"/>
      <c r="R18" s="25"/>
      <c r="S18" s="25"/>
      <c r="T18" s="26">
        <f>-17297.2</f>
        <v>-17297.2</v>
      </c>
      <c r="U18" s="26"/>
    </row>
    <row r="19" spans="1:21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4" t="s">
        <v>34</v>
      </c>
      <c r="J19" s="24"/>
      <c r="K19" s="24" t="s">
        <v>50</v>
      </c>
      <c r="L19" s="24"/>
      <c r="M19" s="25">
        <f>120000</f>
        <v>120000</v>
      </c>
      <c r="N19" s="25"/>
      <c r="O19" s="25"/>
      <c r="P19" s="25">
        <f>121646</f>
        <v>121646</v>
      </c>
      <c r="Q19" s="25"/>
      <c r="R19" s="25"/>
      <c r="S19" s="25"/>
      <c r="T19" s="26">
        <f>-1646</f>
        <v>-1646</v>
      </c>
      <c r="U19" s="26"/>
    </row>
    <row r="20" spans="1:21" s="1" customFormat="1" ht="49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4" t="s">
        <v>34</v>
      </c>
      <c r="J20" s="24"/>
      <c r="K20" s="24" t="s">
        <v>52</v>
      </c>
      <c r="L20" s="24"/>
      <c r="M20" s="25">
        <f>10000</f>
        <v>10000</v>
      </c>
      <c r="N20" s="25"/>
      <c r="O20" s="25"/>
      <c r="P20" s="25">
        <f>10385.49</f>
        <v>10385.49</v>
      </c>
      <c r="Q20" s="25"/>
      <c r="R20" s="25"/>
      <c r="S20" s="25"/>
      <c r="T20" s="26">
        <f>-385.49</f>
        <v>-385.49</v>
      </c>
      <c r="U20" s="26"/>
    </row>
    <row r="21" spans="1:21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4" t="s">
        <v>34</v>
      </c>
      <c r="J21" s="24"/>
      <c r="K21" s="24" t="s">
        <v>54</v>
      </c>
      <c r="L21" s="24"/>
      <c r="M21" s="25">
        <f>1691500</f>
        <v>1691500</v>
      </c>
      <c r="N21" s="25"/>
      <c r="O21" s="25"/>
      <c r="P21" s="25">
        <f>1707985.94</f>
        <v>1707985.94</v>
      </c>
      <c r="Q21" s="25"/>
      <c r="R21" s="25"/>
      <c r="S21" s="25"/>
      <c r="T21" s="26">
        <f>-16485.94</f>
        <v>-16485.94</v>
      </c>
      <c r="U21" s="26"/>
    </row>
    <row r="22" spans="1:21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4" t="s">
        <v>34</v>
      </c>
      <c r="J22" s="24"/>
      <c r="K22" s="24" t="s">
        <v>56</v>
      </c>
      <c r="L22" s="24"/>
      <c r="M22" s="27" t="s">
        <v>44</v>
      </c>
      <c r="N22" s="27"/>
      <c r="O22" s="27"/>
      <c r="P22" s="25">
        <f>-298.01</f>
        <v>-298.01</v>
      </c>
      <c r="Q22" s="25"/>
      <c r="R22" s="25"/>
      <c r="S22" s="25"/>
      <c r="T22" s="26">
        <f>0</f>
        <v>0</v>
      </c>
      <c r="U22" s="26"/>
    </row>
    <row r="23" spans="1:21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4" t="s">
        <v>34</v>
      </c>
      <c r="J23" s="24"/>
      <c r="K23" s="24" t="s">
        <v>58</v>
      </c>
      <c r="L23" s="24"/>
      <c r="M23" s="25">
        <f>3550000</f>
        <v>3550000</v>
      </c>
      <c r="N23" s="25"/>
      <c r="O23" s="25"/>
      <c r="P23" s="25">
        <f>3908501.46</f>
        <v>3908501.46</v>
      </c>
      <c r="Q23" s="25"/>
      <c r="R23" s="25"/>
      <c r="S23" s="25"/>
      <c r="T23" s="26">
        <f>-358501.46</f>
        <v>-358501.46</v>
      </c>
      <c r="U23" s="26"/>
    </row>
    <row r="24" spans="1:21" s="1" customFormat="1" ht="38.2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4" t="s">
        <v>34</v>
      </c>
      <c r="J24" s="24"/>
      <c r="K24" s="24" t="s">
        <v>60</v>
      </c>
      <c r="L24" s="24"/>
      <c r="M24" s="25">
        <f>9150000</f>
        <v>9150000</v>
      </c>
      <c r="N24" s="25"/>
      <c r="O24" s="25"/>
      <c r="P24" s="25">
        <f>9988700.05</f>
        <v>9988700.05</v>
      </c>
      <c r="Q24" s="25"/>
      <c r="R24" s="25"/>
      <c r="S24" s="25"/>
      <c r="T24" s="26">
        <f>-838700.05</f>
        <v>-838700.05</v>
      </c>
      <c r="U24" s="26"/>
    </row>
    <row r="25" spans="1:21" s="1" customFormat="1" ht="37.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4" t="s">
        <v>34</v>
      </c>
      <c r="J25" s="24"/>
      <c r="K25" s="24" t="s">
        <v>62</v>
      </c>
      <c r="L25" s="24"/>
      <c r="M25" s="25">
        <f>3700000</f>
        <v>3700000</v>
      </c>
      <c r="N25" s="25"/>
      <c r="O25" s="25"/>
      <c r="P25" s="25">
        <f>4084090.96</f>
        <v>4084090.96</v>
      </c>
      <c r="Q25" s="25"/>
      <c r="R25" s="25"/>
      <c r="S25" s="25"/>
      <c r="T25" s="26">
        <f>-384090.96</f>
        <v>-384090.96</v>
      </c>
      <c r="U25" s="26"/>
    </row>
    <row r="26" spans="1:21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4" t="s">
        <v>34</v>
      </c>
      <c r="J26" s="24"/>
      <c r="K26" s="24" t="s">
        <v>64</v>
      </c>
      <c r="L26" s="24"/>
      <c r="M26" s="27" t="s">
        <v>44</v>
      </c>
      <c r="N26" s="27"/>
      <c r="O26" s="27"/>
      <c r="P26" s="25">
        <f>8637.77</f>
        <v>8637.77</v>
      </c>
      <c r="Q26" s="25"/>
      <c r="R26" s="25"/>
      <c r="S26" s="25"/>
      <c r="T26" s="26">
        <f>0</f>
        <v>0</v>
      </c>
      <c r="U26" s="26"/>
    </row>
    <row r="27" spans="1:21" s="1" customFormat="1" ht="4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4" t="s">
        <v>34</v>
      </c>
      <c r="J27" s="24"/>
      <c r="K27" s="24" t="s">
        <v>66</v>
      </c>
      <c r="L27" s="24"/>
      <c r="M27" s="25">
        <f>4950000</f>
        <v>4950000</v>
      </c>
      <c r="N27" s="25"/>
      <c r="O27" s="25"/>
      <c r="P27" s="25">
        <f>5334489.23</f>
        <v>5334489.23</v>
      </c>
      <c r="Q27" s="25"/>
      <c r="R27" s="25"/>
      <c r="S27" s="25"/>
      <c r="T27" s="26">
        <f>-384489.23</f>
        <v>-384489.23</v>
      </c>
      <c r="U27" s="26"/>
    </row>
    <row r="28" spans="1:21" s="1" customFormat="1" ht="24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4" t="s">
        <v>34</v>
      </c>
      <c r="J28" s="24"/>
      <c r="K28" s="24" t="s">
        <v>68</v>
      </c>
      <c r="L28" s="24"/>
      <c r="M28" s="25">
        <f>950000</f>
        <v>950000</v>
      </c>
      <c r="N28" s="25"/>
      <c r="O28" s="25"/>
      <c r="P28" s="25">
        <f>1001411.52</f>
        <v>1001411.52</v>
      </c>
      <c r="Q28" s="25"/>
      <c r="R28" s="25"/>
      <c r="S28" s="25"/>
      <c r="T28" s="26">
        <f>-51411.52</f>
        <v>-51411.52</v>
      </c>
      <c r="U28" s="26"/>
    </row>
    <row r="29" spans="1:21" s="1" customFormat="1" ht="33.7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4" t="s">
        <v>34</v>
      </c>
      <c r="J29" s="24"/>
      <c r="K29" s="24" t="s">
        <v>70</v>
      </c>
      <c r="L29" s="24"/>
      <c r="M29" s="25">
        <f>2000</f>
        <v>2000</v>
      </c>
      <c r="N29" s="25"/>
      <c r="O29" s="25"/>
      <c r="P29" s="25">
        <f>2154.03</f>
        <v>2154.03</v>
      </c>
      <c r="Q29" s="25"/>
      <c r="R29" s="25"/>
      <c r="S29" s="25"/>
      <c r="T29" s="26">
        <f>-154.03</f>
        <v>-154.03</v>
      </c>
      <c r="U29" s="26"/>
    </row>
    <row r="30" spans="1:21" s="1" customFormat="1" ht="4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4" t="s">
        <v>34</v>
      </c>
      <c r="J30" s="24"/>
      <c r="K30" s="24" t="s">
        <v>72</v>
      </c>
      <c r="L30" s="24"/>
      <c r="M30" s="25">
        <f>392500</f>
        <v>392500</v>
      </c>
      <c r="N30" s="25"/>
      <c r="O30" s="25"/>
      <c r="P30" s="25">
        <f>431400.81</f>
        <v>431400.81</v>
      </c>
      <c r="Q30" s="25"/>
      <c r="R30" s="25"/>
      <c r="S30" s="25"/>
      <c r="T30" s="26">
        <f>-38900.81</f>
        <v>-38900.81</v>
      </c>
      <c r="U30" s="26"/>
    </row>
    <row r="31" spans="1:21" s="1" customFormat="1" ht="13.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4" t="s">
        <v>34</v>
      </c>
      <c r="J31" s="24"/>
      <c r="K31" s="24" t="s">
        <v>74</v>
      </c>
      <c r="L31" s="24"/>
      <c r="M31" s="25">
        <f>47000</f>
        <v>47000</v>
      </c>
      <c r="N31" s="25"/>
      <c r="O31" s="25"/>
      <c r="P31" s="25">
        <f>47383.64</f>
        <v>47383.64</v>
      </c>
      <c r="Q31" s="25"/>
      <c r="R31" s="25"/>
      <c r="S31" s="25"/>
      <c r="T31" s="26">
        <f>-383.64</f>
        <v>-383.64</v>
      </c>
      <c r="U31" s="26"/>
    </row>
    <row r="32" spans="1:21" s="1" customFormat="1" ht="13.5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4" t="s">
        <v>34</v>
      </c>
      <c r="J32" s="24"/>
      <c r="K32" s="24" t="s">
        <v>76</v>
      </c>
      <c r="L32" s="24"/>
      <c r="M32" s="27" t="s">
        <v>44</v>
      </c>
      <c r="N32" s="27"/>
      <c r="O32" s="27"/>
      <c r="P32" s="25">
        <f>0</f>
        <v>0</v>
      </c>
      <c r="Q32" s="25"/>
      <c r="R32" s="25"/>
      <c r="S32" s="25"/>
      <c r="T32" s="26">
        <f>0</f>
        <v>0</v>
      </c>
      <c r="U32" s="26"/>
    </row>
    <row r="33" spans="1:21" s="1" customFormat="1" ht="13.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4" t="s">
        <v>34</v>
      </c>
      <c r="J33" s="24"/>
      <c r="K33" s="24" t="s">
        <v>78</v>
      </c>
      <c r="L33" s="24"/>
      <c r="M33" s="25">
        <f>0</f>
        <v>0</v>
      </c>
      <c r="N33" s="25"/>
      <c r="O33" s="25"/>
      <c r="P33" s="27" t="s">
        <v>44</v>
      </c>
      <c r="Q33" s="27"/>
      <c r="R33" s="27"/>
      <c r="S33" s="27"/>
      <c r="T33" s="26">
        <f>0</f>
        <v>0</v>
      </c>
      <c r="U33" s="26"/>
    </row>
    <row r="34" spans="1:21" s="1" customFormat="1" ht="13.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4" t="s">
        <v>34</v>
      </c>
      <c r="J34" s="24"/>
      <c r="K34" s="24" t="s">
        <v>80</v>
      </c>
      <c r="L34" s="24"/>
      <c r="M34" s="25">
        <f>30798500</f>
        <v>30798500</v>
      </c>
      <c r="N34" s="25"/>
      <c r="O34" s="25"/>
      <c r="P34" s="25">
        <f>30692130.5</f>
        <v>30692130.5</v>
      </c>
      <c r="Q34" s="25"/>
      <c r="R34" s="25"/>
      <c r="S34" s="25"/>
      <c r="T34" s="26">
        <f>106369.5</f>
        <v>106369.5</v>
      </c>
      <c r="U34" s="26"/>
    </row>
    <row r="35" spans="1:21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4" t="s">
        <v>34</v>
      </c>
      <c r="J35" s="24"/>
      <c r="K35" s="24" t="s">
        <v>82</v>
      </c>
      <c r="L35" s="24"/>
      <c r="M35" s="25">
        <f>7900</f>
        <v>7900</v>
      </c>
      <c r="N35" s="25"/>
      <c r="O35" s="25"/>
      <c r="P35" s="25">
        <f>7900</f>
        <v>7900</v>
      </c>
      <c r="Q35" s="25"/>
      <c r="R35" s="25"/>
      <c r="S35" s="25"/>
      <c r="T35" s="26">
        <f>0</f>
        <v>0</v>
      </c>
      <c r="U35" s="26"/>
    </row>
    <row r="36" spans="1:21" s="1" customFormat="1" ht="13.5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4" t="s">
        <v>34</v>
      </c>
      <c r="J36" s="24"/>
      <c r="K36" s="24" t="s">
        <v>84</v>
      </c>
      <c r="L36" s="24"/>
      <c r="M36" s="25">
        <f>500000</f>
        <v>500000</v>
      </c>
      <c r="N36" s="25"/>
      <c r="O36" s="25"/>
      <c r="P36" s="25">
        <f>500000</f>
        <v>500000</v>
      </c>
      <c r="Q36" s="25"/>
      <c r="R36" s="25"/>
      <c r="S36" s="25"/>
      <c r="T36" s="26">
        <f>0</f>
        <v>0</v>
      </c>
      <c r="U36" s="26"/>
    </row>
    <row r="37" spans="1:21" s="1" customFormat="1" ht="13.5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4" t="s">
        <v>34</v>
      </c>
      <c r="J37" s="24"/>
      <c r="K37" s="24" t="s">
        <v>86</v>
      </c>
      <c r="L37" s="24"/>
      <c r="M37" s="25">
        <f>400000</f>
        <v>400000</v>
      </c>
      <c r="N37" s="25"/>
      <c r="O37" s="25"/>
      <c r="P37" s="25">
        <f>442216.81</f>
        <v>442216.81</v>
      </c>
      <c r="Q37" s="25"/>
      <c r="R37" s="25"/>
      <c r="S37" s="25"/>
      <c r="T37" s="26">
        <f>-42216.81</f>
        <v>-42216.81</v>
      </c>
      <c r="U37" s="26"/>
    </row>
    <row r="38" spans="1:21" s="1" customFormat="1" ht="44.25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4" t="s">
        <v>34</v>
      </c>
      <c r="J38" s="24"/>
      <c r="K38" s="24" t="s">
        <v>88</v>
      </c>
      <c r="L38" s="24"/>
      <c r="M38" s="27" t="s">
        <v>44</v>
      </c>
      <c r="N38" s="27"/>
      <c r="O38" s="27"/>
      <c r="P38" s="25">
        <f>0</f>
        <v>0</v>
      </c>
      <c r="Q38" s="25"/>
      <c r="R38" s="25"/>
      <c r="S38" s="25"/>
      <c r="T38" s="26">
        <f>0</f>
        <v>0</v>
      </c>
      <c r="U38" s="26"/>
    </row>
    <row r="39" spans="1:21" s="1" customFormat="1" ht="24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4" t="s">
        <v>34</v>
      </c>
      <c r="J39" s="24"/>
      <c r="K39" s="24" t="s">
        <v>90</v>
      </c>
      <c r="L39" s="24"/>
      <c r="M39" s="25">
        <f>-54234.2</f>
        <v>-54234.2</v>
      </c>
      <c r="N39" s="25"/>
      <c r="O39" s="25"/>
      <c r="P39" s="25">
        <f>-54234.2</f>
        <v>-54234.2</v>
      </c>
      <c r="Q39" s="25"/>
      <c r="R39" s="25"/>
      <c r="S39" s="25"/>
      <c r="T39" s="26">
        <f>0</f>
        <v>0</v>
      </c>
      <c r="U39" s="26"/>
    </row>
    <row r="40" spans="1:21" s="1" customFormat="1" ht="13.5" customHeight="1">
      <c r="A40" s="28" t="s">
        <v>10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" customFormat="1" ht="13.5" customHeight="1">
      <c r="A41" s="12" t="s">
        <v>91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21</v>
      </c>
      <c r="B42" s="13"/>
      <c r="C42" s="13"/>
      <c r="D42" s="13"/>
      <c r="E42" s="13"/>
      <c r="F42" s="13"/>
      <c r="G42" s="13"/>
      <c r="H42" s="13"/>
      <c r="I42" s="13" t="s">
        <v>22</v>
      </c>
      <c r="J42" s="13"/>
      <c r="K42" s="13" t="s">
        <v>92</v>
      </c>
      <c r="L42" s="13"/>
      <c r="M42" s="14" t="s">
        <v>24</v>
      </c>
      <c r="N42" s="14"/>
      <c r="O42" s="14"/>
      <c r="P42" s="14" t="s">
        <v>25</v>
      </c>
      <c r="Q42" s="14"/>
      <c r="R42" s="14"/>
      <c r="S42" s="14"/>
      <c r="T42" s="15" t="s">
        <v>26</v>
      </c>
      <c r="U42" s="15"/>
    </row>
    <row r="43" spans="1:21" s="1" customFormat="1" ht="13.5" customHeight="1">
      <c r="A43" s="16" t="s">
        <v>27</v>
      </c>
      <c r="B43" s="16"/>
      <c r="C43" s="16"/>
      <c r="D43" s="16"/>
      <c r="E43" s="16"/>
      <c r="F43" s="16"/>
      <c r="G43" s="16"/>
      <c r="H43" s="16"/>
      <c r="I43" s="16" t="s">
        <v>28</v>
      </c>
      <c r="J43" s="16"/>
      <c r="K43" s="16" t="s">
        <v>29</v>
      </c>
      <c r="L43" s="16"/>
      <c r="M43" s="17" t="s">
        <v>30</v>
      </c>
      <c r="N43" s="17"/>
      <c r="O43" s="17"/>
      <c r="P43" s="17" t="s">
        <v>31</v>
      </c>
      <c r="Q43" s="17"/>
      <c r="R43" s="17"/>
      <c r="S43" s="17"/>
      <c r="T43" s="18" t="s">
        <v>32</v>
      </c>
      <c r="U43" s="18"/>
    </row>
    <row r="44" spans="1:21" s="1" customFormat="1" ht="13.5" customHeight="1">
      <c r="A44" s="19" t="s">
        <v>93</v>
      </c>
      <c r="B44" s="19"/>
      <c r="C44" s="19"/>
      <c r="D44" s="19"/>
      <c r="E44" s="19"/>
      <c r="F44" s="19"/>
      <c r="G44" s="19"/>
      <c r="H44" s="19"/>
      <c r="I44" s="20" t="s">
        <v>94</v>
      </c>
      <c r="J44" s="20"/>
      <c r="K44" s="20" t="s">
        <v>35</v>
      </c>
      <c r="L44" s="20"/>
      <c r="M44" s="21">
        <f>157786826.12</f>
        <v>157786826.12</v>
      </c>
      <c r="N44" s="21"/>
      <c r="O44" s="21"/>
      <c r="P44" s="21">
        <f>155471737.41</f>
        <v>155471737.41</v>
      </c>
      <c r="Q44" s="21"/>
      <c r="R44" s="21"/>
      <c r="S44" s="21"/>
      <c r="T44" s="22">
        <f>2315088.71</f>
        <v>2315088.71</v>
      </c>
      <c r="U44" s="22"/>
    </row>
    <row r="45" spans="1:21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30" t="s">
        <v>94</v>
      </c>
      <c r="J45" s="30"/>
      <c r="K45" s="30" t="s">
        <v>96</v>
      </c>
      <c r="L45" s="30"/>
      <c r="M45" s="31">
        <f>305000</f>
        <v>305000</v>
      </c>
      <c r="N45" s="31"/>
      <c r="O45" s="31"/>
      <c r="P45" s="31">
        <f>305000</f>
        <v>305000</v>
      </c>
      <c r="Q45" s="31"/>
      <c r="R45" s="31"/>
      <c r="S45" s="31"/>
      <c r="T45" s="32">
        <f>0</f>
        <v>0</v>
      </c>
      <c r="U45" s="32"/>
    </row>
    <row r="46" spans="1:21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30" t="s">
        <v>94</v>
      </c>
      <c r="J46" s="30"/>
      <c r="K46" s="30" t="s">
        <v>98</v>
      </c>
      <c r="L46" s="30"/>
      <c r="M46" s="31">
        <f>567116.27</f>
        <v>567116.27</v>
      </c>
      <c r="N46" s="31"/>
      <c r="O46" s="31"/>
      <c r="P46" s="31">
        <f>567116.27</f>
        <v>567116.27</v>
      </c>
      <c r="Q46" s="31"/>
      <c r="R46" s="31"/>
      <c r="S46" s="31"/>
      <c r="T46" s="32">
        <f>0</f>
        <v>0</v>
      </c>
      <c r="U46" s="32"/>
    </row>
    <row r="47" spans="1:21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30" t="s">
        <v>94</v>
      </c>
      <c r="J47" s="30"/>
      <c r="K47" s="30" t="s">
        <v>100</v>
      </c>
      <c r="L47" s="30"/>
      <c r="M47" s="31">
        <f>230321.07</f>
        <v>230321.07</v>
      </c>
      <c r="N47" s="31"/>
      <c r="O47" s="31"/>
      <c r="P47" s="31">
        <f>147998</f>
        <v>147998</v>
      </c>
      <c r="Q47" s="31"/>
      <c r="R47" s="31"/>
      <c r="S47" s="31"/>
      <c r="T47" s="32">
        <f>82323.07</f>
        <v>82323.07</v>
      </c>
      <c r="U47" s="32"/>
    </row>
    <row r="48" spans="1:21" s="1" customFormat="1" ht="13.5" customHeight="1">
      <c r="A48" s="29" t="s">
        <v>97</v>
      </c>
      <c r="B48" s="29"/>
      <c r="C48" s="29"/>
      <c r="D48" s="29"/>
      <c r="E48" s="29"/>
      <c r="F48" s="29"/>
      <c r="G48" s="29"/>
      <c r="H48" s="29"/>
      <c r="I48" s="30" t="s">
        <v>94</v>
      </c>
      <c r="J48" s="30"/>
      <c r="K48" s="30" t="s">
        <v>101</v>
      </c>
      <c r="L48" s="30"/>
      <c r="M48" s="31">
        <f>5648748.21</f>
        <v>5648748.21</v>
      </c>
      <c r="N48" s="31"/>
      <c r="O48" s="31"/>
      <c r="P48" s="31">
        <f>5648748.21</f>
        <v>5648748.21</v>
      </c>
      <c r="Q48" s="31"/>
      <c r="R48" s="31"/>
      <c r="S48" s="31"/>
      <c r="T48" s="32">
        <f aca="true" t="shared" si="0" ref="T48:T54">0</f>
        <v>0</v>
      </c>
      <c r="U48" s="32"/>
    </row>
    <row r="49" spans="1:21" s="1" customFormat="1" ht="13.5" customHeight="1">
      <c r="A49" s="29" t="s">
        <v>99</v>
      </c>
      <c r="B49" s="29"/>
      <c r="C49" s="29"/>
      <c r="D49" s="29"/>
      <c r="E49" s="29"/>
      <c r="F49" s="29"/>
      <c r="G49" s="29"/>
      <c r="H49" s="29"/>
      <c r="I49" s="30" t="s">
        <v>94</v>
      </c>
      <c r="J49" s="30"/>
      <c r="K49" s="30" t="s">
        <v>102</v>
      </c>
      <c r="L49" s="30"/>
      <c r="M49" s="31">
        <f>1796829.24</f>
        <v>1796829.24</v>
      </c>
      <c r="N49" s="31"/>
      <c r="O49" s="31"/>
      <c r="P49" s="31">
        <f>1796829.24</f>
        <v>1796829.24</v>
      </c>
      <c r="Q49" s="31"/>
      <c r="R49" s="31"/>
      <c r="S49" s="31"/>
      <c r="T49" s="32">
        <f t="shared" si="0"/>
        <v>0</v>
      </c>
      <c r="U49" s="32"/>
    </row>
    <row r="50" spans="1:21" s="1" customFormat="1" ht="13.5" customHeight="1">
      <c r="A50" s="29" t="s">
        <v>103</v>
      </c>
      <c r="B50" s="29"/>
      <c r="C50" s="29"/>
      <c r="D50" s="29"/>
      <c r="E50" s="29"/>
      <c r="F50" s="29"/>
      <c r="G50" s="29"/>
      <c r="H50" s="29"/>
      <c r="I50" s="30" t="s">
        <v>94</v>
      </c>
      <c r="J50" s="30"/>
      <c r="K50" s="30" t="s">
        <v>104</v>
      </c>
      <c r="L50" s="30"/>
      <c r="M50" s="31">
        <f>5034.28</f>
        <v>5034.28</v>
      </c>
      <c r="N50" s="31"/>
      <c r="O50" s="31"/>
      <c r="P50" s="31">
        <f>5034.28</f>
        <v>5034.28</v>
      </c>
      <c r="Q50" s="31"/>
      <c r="R50" s="31"/>
      <c r="S50" s="31"/>
      <c r="T50" s="32">
        <f t="shared" si="0"/>
        <v>0</v>
      </c>
      <c r="U50" s="32"/>
    </row>
    <row r="51" spans="1:21" s="1" customFormat="1" ht="13.5" customHeight="1">
      <c r="A51" s="29" t="s">
        <v>105</v>
      </c>
      <c r="B51" s="29"/>
      <c r="C51" s="29"/>
      <c r="D51" s="29"/>
      <c r="E51" s="29"/>
      <c r="F51" s="29"/>
      <c r="G51" s="29"/>
      <c r="H51" s="29"/>
      <c r="I51" s="30" t="s">
        <v>94</v>
      </c>
      <c r="J51" s="30"/>
      <c r="K51" s="30" t="s">
        <v>106</v>
      </c>
      <c r="L51" s="30"/>
      <c r="M51" s="31">
        <f>152667.97</f>
        <v>152667.97</v>
      </c>
      <c r="N51" s="31"/>
      <c r="O51" s="31"/>
      <c r="P51" s="31">
        <f>152667.97</f>
        <v>152667.97</v>
      </c>
      <c r="Q51" s="31"/>
      <c r="R51" s="31"/>
      <c r="S51" s="31"/>
      <c r="T51" s="32">
        <f t="shared" si="0"/>
        <v>0</v>
      </c>
      <c r="U51" s="32"/>
    </row>
    <row r="52" spans="1:21" s="1" customFormat="1" ht="13.5" customHeight="1">
      <c r="A52" s="29" t="s">
        <v>107</v>
      </c>
      <c r="B52" s="29"/>
      <c r="C52" s="29"/>
      <c r="D52" s="29"/>
      <c r="E52" s="29"/>
      <c r="F52" s="29"/>
      <c r="G52" s="29"/>
      <c r="H52" s="29"/>
      <c r="I52" s="30" t="s">
        <v>94</v>
      </c>
      <c r="J52" s="30"/>
      <c r="K52" s="30" t="s">
        <v>108</v>
      </c>
      <c r="L52" s="30"/>
      <c r="M52" s="31">
        <f>1416</f>
        <v>1416</v>
      </c>
      <c r="N52" s="31"/>
      <c r="O52" s="31"/>
      <c r="P52" s="31">
        <f>1416</f>
        <v>1416</v>
      </c>
      <c r="Q52" s="31"/>
      <c r="R52" s="31"/>
      <c r="S52" s="31"/>
      <c r="T52" s="32">
        <f t="shared" si="0"/>
        <v>0</v>
      </c>
      <c r="U52" s="32"/>
    </row>
    <row r="53" spans="1:21" s="1" customFormat="1" ht="13.5" customHeight="1">
      <c r="A53" s="29" t="s">
        <v>109</v>
      </c>
      <c r="B53" s="29"/>
      <c r="C53" s="29"/>
      <c r="D53" s="29"/>
      <c r="E53" s="29"/>
      <c r="F53" s="29"/>
      <c r="G53" s="29"/>
      <c r="H53" s="29"/>
      <c r="I53" s="30" t="s">
        <v>94</v>
      </c>
      <c r="J53" s="30"/>
      <c r="K53" s="30" t="s">
        <v>110</v>
      </c>
      <c r="L53" s="30"/>
      <c r="M53" s="31">
        <f>302891.84</f>
        <v>302891.84</v>
      </c>
      <c r="N53" s="31"/>
      <c r="O53" s="31"/>
      <c r="P53" s="31">
        <f>302891.84</f>
        <v>302891.84</v>
      </c>
      <c r="Q53" s="31"/>
      <c r="R53" s="31"/>
      <c r="S53" s="31"/>
      <c r="T53" s="32">
        <f t="shared" si="0"/>
        <v>0</v>
      </c>
      <c r="U53" s="32"/>
    </row>
    <row r="54" spans="1:21" s="1" customFormat="1" ht="13.5" customHeight="1">
      <c r="A54" s="29" t="s">
        <v>105</v>
      </c>
      <c r="B54" s="29"/>
      <c r="C54" s="29"/>
      <c r="D54" s="29"/>
      <c r="E54" s="29"/>
      <c r="F54" s="29"/>
      <c r="G54" s="29"/>
      <c r="H54" s="29"/>
      <c r="I54" s="30" t="s">
        <v>94</v>
      </c>
      <c r="J54" s="30"/>
      <c r="K54" s="30" t="s">
        <v>111</v>
      </c>
      <c r="L54" s="30"/>
      <c r="M54" s="31">
        <f>0</f>
        <v>0</v>
      </c>
      <c r="N54" s="31"/>
      <c r="O54" s="31"/>
      <c r="P54" s="31">
        <f>0</f>
        <v>0</v>
      </c>
      <c r="Q54" s="31"/>
      <c r="R54" s="31"/>
      <c r="S54" s="31"/>
      <c r="T54" s="32">
        <f t="shared" si="0"/>
        <v>0</v>
      </c>
      <c r="U54" s="32"/>
    </row>
    <row r="55" spans="1:21" s="1" customFormat="1" ht="13.5" customHeight="1">
      <c r="A55" s="29" t="s">
        <v>112</v>
      </c>
      <c r="B55" s="29"/>
      <c r="C55" s="29"/>
      <c r="D55" s="29"/>
      <c r="E55" s="29"/>
      <c r="F55" s="29"/>
      <c r="G55" s="29"/>
      <c r="H55" s="29"/>
      <c r="I55" s="30" t="s">
        <v>94</v>
      </c>
      <c r="J55" s="30"/>
      <c r="K55" s="30" t="s">
        <v>113</v>
      </c>
      <c r="L55" s="30"/>
      <c r="M55" s="31">
        <f>40000</f>
        <v>40000</v>
      </c>
      <c r="N55" s="31"/>
      <c r="O55" s="31"/>
      <c r="P55" s="31">
        <f>37576.41</f>
        <v>37576.41</v>
      </c>
      <c r="Q55" s="31"/>
      <c r="R55" s="31"/>
      <c r="S55" s="31"/>
      <c r="T55" s="32">
        <f>2423.59</f>
        <v>2423.59</v>
      </c>
      <c r="U55" s="32"/>
    </row>
    <row r="56" spans="1:21" s="1" customFormat="1" ht="13.5" customHeight="1">
      <c r="A56" s="29" t="s">
        <v>107</v>
      </c>
      <c r="B56" s="29"/>
      <c r="C56" s="29"/>
      <c r="D56" s="29"/>
      <c r="E56" s="29"/>
      <c r="F56" s="29"/>
      <c r="G56" s="29"/>
      <c r="H56" s="29"/>
      <c r="I56" s="30" t="s">
        <v>94</v>
      </c>
      <c r="J56" s="30"/>
      <c r="K56" s="30" t="s">
        <v>114</v>
      </c>
      <c r="L56" s="30"/>
      <c r="M56" s="31">
        <f>0</f>
        <v>0</v>
      </c>
      <c r="N56" s="31"/>
      <c r="O56" s="31"/>
      <c r="P56" s="31">
        <f>0</f>
        <v>0</v>
      </c>
      <c r="Q56" s="31"/>
      <c r="R56" s="31"/>
      <c r="S56" s="31"/>
      <c r="T56" s="32">
        <f>0</f>
        <v>0</v>
      </c>
      <c r="U56" s="32"/>
    </row>
    <row r="57" spans="1:21" s="1" customFormat="1" ht="13.5" customHeight="1">
      <c r="A57" s="29" t="s">
        <v>115</v>
      </c>
      <c r="B57" s="29"/>
      <c r="C57" s="29"/>
      <c r="D57" s="29"/>
      <c r="E57" s="29"/>
      <c r="F57" s="29"/>
      <c r="G57" s="29"/>
      <c r="H57" s="29"/>
      <c r="I57" s="30" t="s">
        <v>94</v>
      </c>
      <c r="J57" s="30"/>
      <c r="K57" s="30" t="s">
        <v>116</v>
      </c>
      <c r="L57" s="30"/>
      <c r="M57" s="31">
        <f>460000</f>
        <v>460000</v>
      </c>
      <c r="N57" s="31"/>
      <c r="O57" s="31"/>
      <c r="P57" s="31">
        <f>439458.38</f>
        <v>439458.38</v>
      </c>
      <c r="Q57" s="31"/>
      <c r="R57" s="31"/>
      <c r="S57" s="31"/>
      <c r="T57" s="32">
        <f>20541.62</f>
        <v>20541.62</v>
      </c>
      <c r="U57" s="32"/>
    </row>
    <row r="58" spans="1:21" s="1" customFormat="1" ht="13.5" customHeight="1">
      <c r="A58" s="29" t="s">
        <v>109</v>
      </c>
      <c r="B58" s="29"/>
      <c r="C58" s="29"/>
      <c r="D58" s="29"/>
      <c r="E58" s="29"/>
      <c r="F58" s="29"/>
      <c r="G58" s="29"/>
      <c r="H58" s="29"/>
      <c r="I58" s="30" t="s">
        <v>94</v>
      </c>
      <c r="J58" s="30"/>
      <c r="K58" s="30" t="s">
        <v>117</v>
      </c>
      <c r="L58" s="30"/>
      <c r="M58" s="31">
        <f>384420</f>
        <v>384420</v>
      </c>
      <c r="N58" s="31"/>
      <c r="O58" s="31"/>
      <c r="P58" s="31">
        <f>383639.31</f>
        <v>383639.31</v>
      </c>
      <c r="Q58" s="31"/>
      <c r="R58" s="31"/>
      <c r="S58" s="31"/>
      <c r="T58" s="32">
        <f>780.69</f>
        <v>780.69</v>
      </c>
      <c r="U58" s="32"/>
    </row>
    <row r="59" spans="1:21" s="1" customFormat="1" ht="13.5" customHeight="1">
      <c r="A59" s="29" t="s">
        <v>118</v>
      </c>
      <c r="B59" s="29"/>
      <c r="C59" s="29"/>
      <c r="D59" s="29"/>
      <c r="E59" s="29"/>
      <c r="F59" s="29"/>
      <c r="G59" s="29"/>
      <c r="H59" s="29"/>
      <c r="I59" s="30" t="s">
        <v>94</v>
      </c>
      <c r="J59" s="30"/>
      <c r="K59" s="30" t="s">
        <v>119</v>
      </c>
      <c r="L59" s="30"/>
      <c r="M59" s="31">
        <f>0</f>
        <v>0</v>
      </c>
      <c r="N59" s="31"/>
      <c r="O59" s="31"/>
      <c r="P59" s="33" t="s">
        <v>44</v>
      </c>
      <c r="Q59" s="33"/>
      <c r="R59" s="33"/>
      <c r="S59" s="33"/>
      <c r="T59" s="32">
        <f>0</f>
        <v>0</v>
      </c>
      <c r="U59" s="32"/>
    </row>
    <row r="60" spans="1:21" s="1" customFormat="1" ht="13.5" customHeight="1">
      <c r="A60" s="29" t="s">
        <v>120</v>
      </c>
      <c r="B60" s="29"/>
      <c r="C60" s="29"/>
      <c r="D60" s="29"/>
      <c r="E60" s="29"/>
      <c r="F60" s="29"/>
      <c r="G60" s="29"/>
      <c r="H60" s="29"/>
      <c r="I60" s="30" t="s">
        <v>94</v>
      </c>
      <c r="J60" s="30"/>
      <c r="K60" s="30" t="s">
        <v>121</v>
      </c>
      <c r="L60" s="30"/>
      <c r="M60" s="31">
        <f>1076115</f>
        <v>1076115</v>
      </c>
      <c r="N60" s="31"/>
      <c r="O60" s="31"/>
      <c r="P60" s="31">
        <f>1076115</f>
        <v>1076115</v>
      </c>
      <c r="Q60" s="31"/>
      <c r="R60" s="31"/>
      <c r="S60" s="31"/>
      <c r="T60" s="32">
        <f>0</f>
        <v>0</v>
      </c>
      <c r="U60" s="32"/>
    </row>
    <row r="61" spans="1:21" s="1" customFormat="1" ht="13.5" customHeight="1">
      <c r="A61" s="29" t="s">
        <v>122</v>
      </c>
      <c r="B61" s="29"/>
      <c r="C61" s="29"/>
      <c r="D61" s="29"/>
      <c r="E61" s="29"/>
      <c r="F61" s="29"/>
      <c r="G61" s="29"/>
      <c r="H61" s="29"/>
      <c r="I61" s="30" t="s">
        <v>94</v>
      </c>
      <c r="J61" s="30"/>
      <c r="K61" s="30" t="s">
        <v>123</v>
      </c>
      <c r="L61" s="30"/>
      <c r="M61" s="31">
        <f>1089450.09</f>
        <v>1089450.09</v>
      </c>
      <c r="N61" s="31"/>
      <c r="O61" s="31"/>
      <c r="P61" s="31">
        <f>1080653.83</f>
        <v>1080653.83</v>
      </c>
      <c r="Q61" s="31"/>
      <c r="R61" s="31"/>
      <c r="S61" s="31"/>
      <c r="T61" s="32">
        <f>8796.26</f>
        <v>8796.26</v>
      </c>
      <c r="U61" s="32"/>
    </row>
    <row r="62" spans="1:21" s="1" customFormat="1" ht="13.5" customHeight="1">
      <c r="A62" s="29" t="s">
        <v>118</v>
      </c>
      <c r="B62" s="29"/>
      <c r="C62" s="29"/>
      <c r="D62" s="29"/>
      <c r="E62" s="29"/>
      <c r="F62" s="29"/>
      <c r="G62" s="29"/>
      <c r="H62" s="29"/>
      <c r="I62" s="30" t="s">
        <v>94</v>
      </c>
      <c r="J62" s="30"/>
      <c r="K62" s="30" t="s">
        <v>124</v>
      </c>
      <c r="L62" s="30"/>
      <c r="M62" s="31">
        <f>0</f>
        <v>0</v>
      </c>
      <c r="N62" s="31"/>
      <c r="O62" s="31"/>
      <c r="P62" s="31">
        <f>0</f>
        <v>0</v>
      </c>
      <c r="Q62" s="31"/>
      <c r="R62" s="31"/>
      <c r="S62" s="31"/>
      <c r="T62" s="32">
        <f aca="true" t="shared" si="1" ref="T62:T68">0</f>
        <v>0</v>
      </c>
      <c r="U62" s="32"/>
    </row>
    <row r="63" spans="1:21" s="1" customFormat="1" ht="13.5" customHeight="1">
      <c r="A63" s="29" t="s">
        <v>118</v>
      </c>
      <c r="B63" s="29"/>
      <c r="C63" s="29"/>
      <c r="D63" s="29"/>
      <c r="E63" s="29"/>
      <c r="F63" s="29"/>
      <c r="G63" s="29"/>
      <c r="H63" s="29"/>
      <c r="I63" s="30" t="s">
        <v>94</v>
      </c>
      <c r="J63" s="30"/>
      <c r="K63" s="30" t="s">
        <v>125</v>
      </c>
      <c r="L63" s="30"/>
      <c r="M63" s="31">
        <f>133216.94</f>
        <v>133216.94</v>
      </c>
      <c r="N63" s="31"/>
      <c r="O63" s="31"/>
      <c r="P63" s="31">
        <f>133216.94</f>
        <v>133216.94</v>
      </c>
      <c r="Q63" s="31"/>
      <c r="R63" s="31"/>
      <c r="S63" s="31"/>
      <c r="T63" s="32">
        <f t="shared" si="1"/>
        <v>0</v>
      </c>
      <c r="U63" s="32"/>
    </row>
    <row r="64" spans="1:21" s="1" customFormat="1" ht="13.5" customHeight="1">
      <c r="A64" s="29" t="s">
        <v>118</v>
      </c>
      <c r="B64" s="29"/>
      <c r="C64" s="29"/>
      <c r="D64" s="29"/>
      <c r="E64" s="29"/>
      <c r="F64" s="29"/>
      <c r="G64" s="29"/>
      <c r="H64" s="29"/>
      <c r="I64" s="30" t="s">
        <v>94</v>
      </c>
      <c r="J64" s="30"/>
      <c r="K64" s="30" t="s">
        <v>126</v>
      </c>
      <c r="L64" s="30"/>
      <c r="M64" s="31">
        <f>48773.09</f>
        <v>48773.09</v>
      </c>
      <c r="N64" s="31"/>
      <c r="O64" s="31"/>
      <c r="P64" s="31">
        <f>48773.09</f>
        <v>48773.09</v>
      </c>
      <c r="Q64" s="31"/>
      <c r="R64" s="31"/>
      <c r="S64" s="31"/>
      <c r="T64" s="32">
        <f t="shared" si="1"/>
        <v>0</v>
      </c>
      <c r="U64" s="32"/>
    </row>
    <row r="65" spans="1:21" s="1" customFormat="1" ht="13.5" customHeight="1">
      <c r="A65" s="29" t="s">
        <v>122</v>
      </c>
      <c r="B65" s="29"/>
      <c r="C65" s="29"/>
      <c r="D65" s="29"/>
      <c r="E65" s="29"/>
      <c r="F65" s="29"/>
      <c r="G65" s="29"/>
      <c r="H65" s="29"/>
      <c r="I65" s="30" t="s">
        <v>94</v>
      </c>
      <c r="J65" s="30"/>
      <c r="K65" s="30" t="s">
        <v>127</v>
      </c>
      <c r="L65" s="30"/>
      <c r="M65" s="31">
        <f>7900</f>
        <v>7900</v>
      </c>
      <c r="N65" s="31"/>
      <c r="O65" s="31"/>
      <c r="P65" s="31">
        <f>7900</f>
        <v>7900</v>
      </c>
      <c r="Q65" s="31"/>
      <c r="R65" s="31"/>
      <c r="S65" s="31"/>
      <c r="T65" s="32">
        <f t="shared" si="1"/>
        <v>0</v>
      </c>
      <c r="U65" s="32"/>
    </row>
    <row r="66" spans="1:21" s="1" customFormat="1" ht="13.5" customHeight="1">
      <c r="A66" s="29" t="s">
        <v>95</v>
      </c>
      <c r="B66" s="29"/>
      <c r="C66" s="29"/>
      <c r="D66" s="29"/>
      <c r="E66" s="29"/>
      <c r="F66" s="29"/>
      <c r="G66" s="29"/>
      <c r="H66" s="29"/>
      <c r="I66" s="30" t="s">
        <v>94</v>
      </c>
      <c r="J66" s="30"/>
      <c r="K66" s="30" t="s">
        <v>128</v>
      </c>
      <c r="L66" s="30"/>
      <c r="M66" s="31">
        <f>0</f>
        <v>0</v>
      </c>
      <c r="N66" s="31"/>
      <c r="O66" s="31"/>
      <c r="P66" s="33" t="s">
        <v>44</v>
      </c>
      <c r="Q66" s="33"/>
      <c r="R66" s="33"/>
      <c r="S66" s="33"/>
      <c r="T66" s="32">
        <f t="shared" si="1"/>
        <v>0</v>
      </c>
      <c r="U66" s="32"/>
    </row>
    <row r="67" spans="1:21" s="1" customFormat="1" ht="13.5" customHeight="1">
      <c r="A67" s="29" t="s">
        <v>109</v>
      </c>
      <c r="B67" s="29"/>
      <c r="C67" s="29"/>
      <c r="D67" s="29"/>
      <c r="E67" s="29"/>
      <c r="F67" s="29"/>
      <c r="G67" s="29"/>
      <c r="H67" s="29"/>
      <c r="I67" s="30" t="s">
        <v>94</v>
      </c>
      <c r="J67" s="30"/>
      <c r="K67" s="30" t="s">
        <v>129</v>
      </c>
      <c r="L67" s="30"/>
      <c r="M67" s="31">
        <f>0</f>
        <v>0</v>
      </c>
      <c r="N67" s="31"/>
      <c r="O67" s="31"/>
      <c r="P67" s="33" t="s">
        <v>44</v>
      </c>
      <c r="Q67" s="33"/>
      <c r="R67" s="33"/>
      <c r="S67" s="33"/>
      <c r="T67" s="32">
        <f t="shared" si="1"/>
        <v>0</v>
      </c>
      <c r="U67" s="32"/>
    </row>
    <row r="68" spans="1:21" s="1" customFormat="1" ht="13.5" customHeight="1">
      <c r="A68" s="29" t="s">
        <v>118</v>
      </c>
      <c r="B68" s="29"/>
      <c r="C68" s="29"/>
      <c r="D68" s="29"/>
      <c r="E68" s="29"/>
      <c r="F68" s="29"/>
      <c r="G68" s="29"/>
      <c r="H68" s="29"/>
      <c r="I68" s="30" t="s">
        <v>94</v>
      </c>
      <c r="J68" s="30"/>
      <c r="K68" s="30" t="s">
        <v>130</v>
      </c>
      <c r="L68" s="30"/>
      <c r="M68" s="31">
        <f>986780</f>
        <v>986780</v>
      </c>
      <c r="N68" s="31"/>
      <c r="O68" s="31"/>
      <c r="P68" s="31">
        <f>986780</f>
        <v>986780</v>
      </c>
      <c r="Q68" s="31"/>
      <c r="R68" s="31"/>
      <c r="S68" s="31"/>
      <c r="T68" s="32">
        <f t="shared" si="1"/>
        <v>0</v>
      </c>
      <c r="U68" s="32"/>
    </row>
    <row r="69" spans="1:21" s="1" customFormat="1" ht="13.5" customHeight="1">
      <c r="A69" s="29" t="s">
        <v>118</v>
      </c>
      <c r="B69" s="29"/>
      <c r="C69" s="29"/>
      <c r="D69" s="29"/>
      <c r="E69" s="29"/>
      <c r="F69" s="29"/>
      <c r="G69" s="29"/>
      <c r="H69" s="29"/>
      <c r="I69" s="30" t="s">
        <v>94</v>
      </c>
      <c r="J69" s="30"/>
      <c r="K69" s="30" t="s">
        <v>131</v>
      </c>
      <c r="L69" s="30"/>
      <c r="M69" s="31">
        <f>14000</f>
        <v>14000</v>
      </c>
      <c r="N69" s="31"/>
      <c r="O69" s="31"/>
      <c r="P69" s="33" t="s">
        <v>44</v>
      </c>
      <c r="Q69" s="33"/>
      <c r="R69" s="33"/>
      <c r="S69" s="33"/>
      <c r="T69" s="32">
        <f>14000</f>
        <v>14000</v>
      </c>
      <c r="U69" s="32"/>
    </row>
    <row r="70" spans="1:21" s="1" customFormat="1" ht="13.5" customHeight="1">
      <c r="A70" s="29" t="s">
        <v>132</v>
      </c>
      <c r="B70" s="29"/>
      <c r="C70" s="29"/>
      <c r="D70" s="29"/>
      <c r="E70" s="29"/>
      <c r="F70" s="29"/>
      <c r="G70" s="29"/>
      <c r="H70" s="29"/>
      <c r="I70" s="30" t="s">
        <v>94</v>
      </c>
      <c r="J70" s="30"/>
      <c r="K70" s="30" t="s">
        <v>133</v>
      </c>
      <c r="L70" s="30"/>
      <c r="M70" s="31">
        <f>119900</f>
        <v>119900</v>
      </c>
      <c r="N70" s="31"/>
      <c r="O70" s="31"/>
      <c r="P70" s="31">
        <f>119900</f>
        <v>119900</v>
      </c>
      <c r="Q70" s="31"/>
      <c r="R70" s="31"/>
      <c r="S70" s="31"/>
      <c r="T70" s="32">
        <f>0</f>
        <v>0</v>
      </c>
      <c r="U70" s="32"/>
    </row>
    <row r="71" spans="1:21" s="1" customFormat="1" ht="13.5" customHeight="1">
      <c r="A71" s="29" t="s">
        <v>107</v>
      </c>
      <c r="B71" s="29"/>
      <c r="C71" s="29"/>
      <c r="D71" s="29"/>
      <c r="E71" s="29"/>
      <c r="F71" s="29"/>
      <c r="G71" s="29"/>
      <c r="H71" s="29"/>
      <c r="I71" s="30" t="s">
        <v>94</v>
      </c>
      <c r="J71" s="30"/>
      <c r="K71" s="30" t="s">
        <v>134</v>
      </c>
      <c r="L71" s="30"/>
      <c r="M71" s="31">
        <f>74075.2</f>
        <v>74075.2</v>
      </c>
      <c r="N71" s="31"/>
      <c r="O71" s="31"/>
      <c r="P71" s="31">
        <f>74075.2</f>
        <v>74075.2</v>
      </c>
      <c r="Q71" s="31"/>
      <c r="R71" s="31"/>
      <c r="S71" s="31"/>
      <c r="T71" s="32">
        <f>0</f>
        <v>0</v>
      </c>
      <c r="U71" s="32"/>
    </row>
    <row r="72" spans="1:21" s="1" customFormat="1" ht="13.5" customHeight="1">
      <c r="A72" s="29" t="s">
        <v>109</v>
      </c>
      <c r="B72" s="29"/>
      <c r="C72" s="29"/>
      <c r="D72" s="29"/>
      <c r="E72" s="29"/>
      <c r="F72" s="29"/>
      <c r="G72" s="29"/>
      <c r="H72" s="29"/>
      <c r="I72" s="30" t="s">
        <v>94</v>
      </c>
      <c r="J72" s="30"/>
      <c r="K72" s="30" t="s">
        <v>135</v>
      </c>
      <c r="L72" s="30"/>
      <c r="M72" s="31">
        <f>892324.8</f>
        <v>892324.8</v>
      </c>
      <c r="N72" s="31"/>
      <c r="O72" s="31"/>
      <c r="P72" s="31">
        <f>882125.32</f>
        <v>882125.32</v>
      </c>
      <c r="Q72" s="31"/>
      <c r="R72" s="31"/>
      <c r="S72" s="31"/>
      <c r="T72" s="32">
        <f>10199.48</f>
        <v>10199.48</v>
      </c>
      <c r="U72" s="32"/>
    </row>
    <row r="73" spans="1:21" s="1" customFormat="1" ht="13.5" customHeight="1">
      <c r="A73" s="29" t="s">
        <v>118</v>
      </c>
      <c r="B73" s="29"/>
      <c r="C73" s="29"/>
      <c r="D73" s="29"/>
      <c r="E73" s="29"/>
      <c r="F73" s="29"/>
      <c r="G73" s="29"/>
      <c r="H73" s="29"/>
      <c r="I73" s="30" t="s">
        <v>94</v>
      </c>
      <c r="J73" s="30"/>
      <c r="K73" s="30" t="s">
        <v>136</v>
      </c>
      <c r="L73" s="30"/>
      <c r="M73" s="31">
        <f>0</f>
        <v>0</v>
      </c>
      <c r="N73" s="31"/>
      <c r="O73" s="31"/>
      <c r="P73" s="33" t="s">
        <v>44</v>
      </c>
      <c r="Q73" s="33"/>
      <c r="R73" s="33"/>
      <c r="S73" s="33"/>
      <c r="T73" s="32">
        <f aca="true" t="shared" si="2" ref="T73:T80">0</f>
        <v>0</v>
      </c>
      <c r="U73" s="32"/>
    </row>
    <row r="74" spans="1:21" s="1" customFormat="1" ht="13.5" customHeight="1">
      <c r="A74" s="29" t="s">
        <v>122</v>
      </c>
      <c r="B74" s="29"/>
      <c r="C74" s="29"/>
      <c r="D74" s="29"/>
      <c r="E74" s="29"/>
      <c r="F74" s="29"/>
      <c r="G74" s="29"/>
      <c r="H74" s="29"/>
      <c r="I74" s="30" t="s">
        <v>94</v>
      </c>
      <c r="J74" s="30"/>
      <c r="K74" s="30" t="s">
        <v>137</v>
      </c>
      <c r="L74" s="30"/>
      <c r="M74" s="31">
        <f>19600</f>
        <v>19600</v>
      </c>
      <c r="N74" s="31"/>
      <c r="O74" s="31"/>
      <c r="P74" s="31">
        <f>19600</f>
        <v>19600</v>
      </c>
      <c r="Q74" s="31"/>
      <c r="R74" s="31"/>
      <c r="S74" s="31"/>
      <c r="T74" s="32">
        <f t="shared" si="2"/>
        <v>0</v>
      </c>
      <c r="U74" s="32"/>
    </row>
    <row r="75" spans="1:21" s="1" customFormat="1" ht="13.5" customHeight="1">
      <c r="A75" s="29" t="s">
        <v>118</v>
      </c>
      <c r="B75" s="29"/>
      <c r="C75" s="29"/>
      <c r="D75" s="29"/>
      <c r="E75" s="29"/>
      <c r="F75" s="29"/>
      <c r="G75" s="29"/>
      <c r="H75" s="29"/>
      <c r="I75" s="30" t="s">
        <v>94</v>
      </c>
      <c r="J75" s="30"/>
      <c r="K75" s="30" t="s">
        <v>138</v>
      </c>
      <c r="L75" s="30"/>
      <c r="M75" s="31">
        <f>84000</f>
        <v>84000</v>
      </c>
      <c r="N75" s="31"/>
      <c r="O75" s="31"/>
      <c r="P75" s="31">
        <f>84000</f>
        <v>84000</v>
      </c>
      <c r="Q75" s="31"/>
      <c r="R75" s="31"/>
      <c r="S75" s="31"/>
      <c r="T75" s="32">
        <f t="shared" si="2"/>
        <v>0</v>
      </c>
      <c r="U75" s="32"/>
    </row>
    <row r="76" spans="1:21" s="1" customFormat="1" ht="13.5" customHeight="1">
      <c r="A76" s="29" t="s">
        <v>118</v>
      </c>
      <c r="B76" s="29"/>
      <c r="C76" s="29"/>
      <c r="D76" s="29"/>
      <c r="E76" s="29"/>
      <c r="F76" s="29"/>
      <c r="G76" s="29"/>
      <c r="H76" s="29"/>
      <c r="I76" s="30" t="s">
        <v>94</v>
      </c>
      <c r="J76" s="30"/>
      <c r="K76" s="30" t="s">
        <v>139</v>
      </c>
      <c r="L76" s="30"/>
      <c r="M76" s="31">
        <f>0</f>
        <v>0</v>
      </c>
      <c r="N76" s="31"/>
      <c r="O76" s="31"/>
      <c r="P76" s="31">
        <f>0</f>
        <v>0</v>
      </c>
      <c r="Q76" s="31"/>
      <c r="R76" s="31"/>
      <c r="S76" s="31"/>
      <c r="T76" s="32">
        <f t="shared" si="2"/>
        <v>0</v>
      </c>
      <c r="U76" s="32"/>
    </row>
    <row r="77" spans="1:21" s="1" customFormat="1" ht="13.5" customHeight="1">
      <c r="A77" s="29" t="s">
        <v>109</v>
      </c>
      <c r="B77" s="29"/>
      <c r="C77" s="29"/>
      <c r="D77" s="29"/>
      <c r="E77" s="29"/>
      <c r="F77" s="29"/>
      <c r="G77" s="29"/>
      <c r="H77" s="29"/>
      <c r="I77" s="30" t="s">
        <v>94</v>
      </c>
      <c r="J77" s="30"/>
      <c r="K77" s="30" t="s">
        <v>140</v>
      </c>
      <c r="L77" s="30"/>
      <c r="M77" s="31">
        <f>501656</f>
        <v>501656</v>
      </c>
      <c r="N77" s="31"/>
      <c r="O77" s="31"/>
      <c r="P77" s="31">
        <f>501656</f>
        <v>501656</v>
      </c>
      <c r="Q77" s="31"/>
      <c r="R77" s="31"/>
      <c r="S77" s="31"/>
      <c r="T77" s="32">
        <f t="shared" si="2"/>
        <v>0</v>
      </c>
      <c r="U77" s="32"/>
    </row>
    <row r="78" spans="1:21" s="1" customFormat="1" ht="13.5" customHeight="1">
      <c r="A78" s="29" t="s">
        <v>120</v>
      </c>
      <c r="B78" s="29"/>
      <c r="C78" s="29"/>
      <c r="D78" s="29"/>
      <c r="E78" s="29"/>
      <c r="F78" s="29"/>
      <c r="G78" s="29"/>
      <c r="H78" s="29"/>
      <c r="I78" s="30" t="s">
        <v>94</v>
      </c>
      <c r="J78" s="30"/>
      <c r="K78" s="30" t="s">
        <v>141</v>
      </c>
      <c r="L78" s="30"/>
      <c r="M78" s="31">
        <f>17200</f>
        <v>17200</v>
      </c>
      <c r="N78" s="31"/>
      <c r="O78" s="31"/>
      <c r="P78" s="31">
        <f>17200</f>
        <v>17200</v>
      </c>
      <c r="Q78" s="31"/>
      <c r="R78" s="31"/>
      <c r="S78" s="31"/>
      <c r="T78" s="32">
        <f t="shared" si="2"/>
        <v>0</v>
      </c>
      <c r="U78" s="32"/>
    </row>
    <row r="79" spans="1:21" s="1" customFormat="1" ht="13.5" customHeight="1">
      <c r="A79" s="29" t="s">
        <v>122</v>
      </c>
      <c r="B79" s="29"/>
      <c r="C79" s="29"/>
      <c r="D79" s="29"/>
      <c r="E79" s="29"/>
      <c r="F79" s="29"/>
      <c r="G79" s="29"/>
      <c r="H79" s="29"/>
      <c r="I79" s="30" t="s">
        <v>94</v>
      </c>
      <c r="J79" s="30"/>
      <c r="K79" s="30" t="s">
        <v>142</v>
      </c>
      <c r="L79" s="30"/>
      <c r="M79" s="31">
        <f>2000</f>
        <v>2000</v>
      </c>
      <c r="N79" s="31"/>
      <c r="O79" s="31"/>
      <c r="P79" s="31">
        <f>2000</f>
        <v>2000</v>
      </c>
      <c r="Q79" s="31"/>
      <c r="R79" s="31"/>
      <c r="S79" s="31"/>
      <c r="T79" s="32">
        <f t="shared" si="2"/>
        <v>0</v>
      </c>
      <c r="U79" s="32"/>
    </row>
    <row r="80" spans="1:21" s="1" customFormat="1" ht="13.5" customHeight="1">
      <c r="A80" s="29" t="s">
        <v>122</v>
      </c>
      <c r="B80" s="29"/>
      <c r="C80" s="29"/>
      <c r="D80" s="29"/>
      <c r="E80" s="29"/>
      <c r="F80" s="29"/>
      <c r="G80" s="29"/>
      <c r="H80" s="29"/>
      <c r="I80" s="30" t="s">
        <v>94</v>
      </c>
      <c r="J80" s="30"/>
      <c r="K80" s="30" t="s">
        <v>143</v>
      </c>
      <c r="L80" s="30"/>
      <c r="M80" s="31">
        <f>1000</f>
        <v>1000</v>
      </c>
      <c r="N80" s="31"/>
      <c r="O80" s="31"/>
      <c r="P80" s="31">
        <f>1000</f>
        <v>1000</v>
      </c>
      <c r="Q80" s="31"/>
      <c r="R80" s="31"/>
      <c r="S80" s="31"/>
      <c r="T80" s="32">
        <f t="shared" si="2"/>
        <v>0</v>
      </c>
      <c r="U80" s="32"/>
    </row>
    <row r="81" spans="1:21" s="1" customFormat="1" ht="13.5" customHeight="1">
      <c r="A81" s="29" t="s">
        <v>109</v>
      </c>
      <c r="B81" s="29"/>
      <c r="C81" s="29"/>
      <c r="D81" s="29"/>
      <c r="E81" s="29"/>
      <c r="F81" s="29"/>
      <c r="G81" s="29"/>
      <c r="H81" s="29"/>
      <c r="I81" s="30" t="s">
        <v>94</v>
      </c>
      <c r="J81" s="30"/>
      <c r="K81" s="30" t="s">
        <v>144</v>
      </c>
      <c r="L81" s="30"/>
      <c r="M81" s="31">
        <f>4175600</f>
        <v>4175600</v>
      </c>
      <c r="N81" s="31"/>
      <c r="O81" s="31"/>
      <c r="P81" s="31">
        <f>4175550</f>
        <v>4175550</v>
      </c>
      <c r="Q81" s="31"/>
      <c r="R81" s="31"/>
      <c r="S81" s="31"/>
      <c r="T81" s="32">
        <f>50</f>
        <v>50</v>
      </c>
      <c r="U81" s="32"/>
    </row>
    <row r="82" spans="1:21" s="1" customFormat="1" ht="13.5" customHeight="1">
      <c r="A82" s="29" t="s">
        <v>122</v>
      </c>
      <c r="B82" s="29"/>
      <c r="C82" s="29"/>
      <c r="D82" s="29"/>
      <c r="E82" s="29"/>
      <c r="F82" s="29"/>
      <c r="G82" s="29"/>
      <c r="H82" s="29"/>
      <c r="I82" s="30" t="s">
        <v>94</v>
      </c>
      <c r="J82" s="30"/>
      <c r="K82" s="30" t="s">
        <v>145</v>
      </c>
      <c r="L82" s="30"/>
      <c r="M82" s="31">
        <f>1000</f>
        <v>1000</v>
      </c>
      <c r="N82" s="31"/>
      <c r="O82" s="31"/>
      <c r="P82" s="31">
        <f>1000</f>
        <v>1000</v>
      </c>
      <c r="Q82" s="31"/>
      <c r="R82" s="31"/>
      <c r="S82" s="31"/>
      <c r="T82" s="32">
        <f aca="true" t="shared" si="3" ref="T82:T88">0</f>
        <v>0</v>
      </c>
      <c r="U82" s="32"/>
    </row>
    <row r="83" spans="1:21" s="1" customFormat="1" ht="13.5" customHeight="1">
      <c r="A83" s="29" t="s">
        <v>109</v>
      </c>
      <c r="B83" s="29"/>
      <c r="C83" s="29"/>
      <c r="D83" s="29"/>
      <c r="E83" s="29"/>
      <c r="F83" s="29"/>
      <c r="G83" s="29"/>
      <c r="H83" s="29"/>
      <c r="I83" s="30" t="s">
        <v>94</v>
      </c>
      <c r="J83" s="30"/>
      <c r="K83" s="30" t="s">
        <v>146</v>
      </c>
      <c r="L83" s="30"/>
      <c r="M83" s="31">
        <f>1000</f>
        <v>1000</v>
      </c>
      <c r="N83" s="31"/>
      <c r="O83" s="31"/>
      <c r="P83" s="31">
        <f>1000</f>
        <v>1000</v>
      </c>
      <c r="Q83" s="31"/>
      <c r="R83" s="31"/>
      <c r="S83" s="31"/>
      <c r="T83" s="32">
        <f t="shared" si="3"/>
        <v>0</v>
      </c>
      <c r="U83" s="32"/>
    </row>
    <row r="84" spans="1:21" s="1" customFormat="1" ht="13.5" customHeight="1">
      <c r="A84" s="29" t="s">
        <v>122</v>
      </c>
      <c r="B84" s="29"/>
      <c r="C84" s="29"/>
      <c r="D84" s="29"/>
      <c r="E84" s="29"/>
      <c r="F84" s="29"/>
      <c r="G84" s="29"/>
      <c r="H84" s="29"/>
      <c r="I84" s="30" t="s">
        <v>94</v>
      </c>
      <c r="J84" s="30"/>
      <c r="K84" s="30" t="s">
        <v>147</v>
      </c>
      <c r="L84" s="30"/>
      <c r="M84" s="31">
        <f>500</f>
        <v>500</v>
      </c>
      <c r="N84" s="31"/>
      <c r="O84" s="31"/>
      <c r="P84" s="31">
        <f>500</f>
        <v>500</v>
      </c>
      <c r="Q84" s="31"/>
      <c r="R84" s="31"/>
      <c r="S84" s="31"/>
      <c r="T84" s="32">
        <f t="shared" si="3"/>
        <v>0</v>
      </c>
      <c r="U84" s="32"/>
    </row>
    <row r="85" spans="1:21" s="1" customFormat="1" ht="13.5" customHeight="1">
      <c r="A85" s="29" t="s">
        <v>122</v>
      </c>
      <c r="B85" s="29"/>
      <c r="C85" s="29"/>
      <c r="D85" s="29"/>
      <c r="E85" s="29"/>
      <c r="F85" s="29"/>
      <c r="G85" s="29"/>
      <c r="H85" s="29"/>
      <c r="I85" s="30" t="s">
        <v>94</v>
      </c>
      <c r="J85" s="30"/>
      <c r="K85" s="30" t="s">
        <v>148</v>
      </c>
      <c r="L85" s="30"/>
      <c r="M85" s="31">
        <f>97600</f>
        <v>97600</v>
      </c>
      <c r="N85" s="31"/>
      <c r="O85" s="31"/>
      <c r="P85" s="31">
        <f>97600</f>
        <v>97600</v>
      </c>
      <c r="Q85" s="31"/>
      <c r="R85" s="31"/>
      <c r="S85" s="31"/>
      <c r="T85" s="32">
        <f t="shared" si="3"/>
        <v>0</v>
      </c>
      <c r="U85" s="32"/>
    </row>
    <row r="86" spans="1:21" s="1" customFormat="1" ht="13.5" customHeight="1">
      <c r="A86" s="29" t="s">
        <v>122</v>
      </c>
      <c r="B86" s="29"/>
      <c r="C86" s="29"/>
      <c r="D86" s="29"/>
      <c r="E86" s="29"/>
      <c r="F86" s="29"/>
      <c r="G86" s="29"/>
      <c r="H86" s="29"/>
      <c r="I86" s="30" t="s">
        <v>94</v>
      </c>
      <c r="J86" s="30"/>
      <c r="K86" s="30" t="s">
        <v>149</v>
      </c>
      <c r="L86" s="30"/>
      <c r="M86" s="31">
        <f>1000</f>
        <v>1000</v>
      </c>
      <c r="N86" s="31"/>
      <c r="O86" s="31"/>
      <c r="P86" s="31">
        <f>1000</f>
        <v>1000</v>
      </c>
      <c r="Q86" s="31"/>
      <c r="R86" s="31"/>
      <c r="S86" s="31"/>
      <c r="T86" s="32">
        <f t="shared" si="3"/>
        <v>0</v>
      </c>
      <c r="U86" s="32"/>
    </row>
    <row r="87" spans="1:21" s="1" customFormat="1" ht="13.5" customHeight="1">
      <c r="A87" s="29" t="s">
        <v>122</v>
      </c>
      <c r="B87" s="29"/>
      <c r="C87" s="29"/>
      <c r="D87" s="29"/>
      <c r="E87" s="29"/>
      <c r="F87" s="29"/>
      <c r="G87" s="29"/>
      <c r="H87" s="29"/>
      <c r="I87" s="30" t="s">
        <v>94</v>
      </c>
      <c r="J87" s="30"/>
      <c r="K87" s="30" t="s">
        <v>150</v>
      </c>
      <c r="L87" s="30"/>
      <c r="M87" s="31">
        <f>1000</f>
        <v>1000</v>
      </c>
      <c r="N87" s="31"/>
      <c r="O87" s="31"/>
      <c r="P87" s="31">
        <f>1000</f>
        <v>1000</v>
      </c>
      <c r="Q87" s="31"/>
      <c r="R87" s="31"/>
      <c r="S87" s="31"/>
      <c r="T87" s="32">
        <f t="shared" si="3"/>
        <v>0</v>
      </c>
      <c r="U87" s="32"/>
    </row>
    <row r="88" spans="1:21" s="1" customFormat="1" ht="13.5" customHeight="1">
      <c r="A88" s="29" t="s">
        <v>115</v>
      </c>
      <c r="B88" s="29"/>
      <c r="C88" s="29"/>
      <c r="D88" s="29"/>
      <c r="E88" s="29"/>
      <c r="F88" s="29"/>
      <c r="G88" s="29"/>
      <c r="H88" s="29"/>
      <c r="I88" s="30" t="s">
        <v>94</v>
      </c>
      <c r="J88" s="30"/>
      <c r="K88" s="30" t="s">
        <v>151</v>
      </c>
      <c r="L88" s="30"/>
      <c r="M88" s="31">
        <f>2651291</f>
        <v>2651291</v>
      </c>
      <c r="N88" s="31"/>
      <c r="O88" s="31"/>
      <c r="P88" s="31">
        <f>2651291</f>
        <v>2651291</v>
      </c>
      <c r="Q88" s="31"/>
      <c r="R88" s="31"/>
      <c r="S88" s="31"/>
      <c r="T88" s="32">
        <f t="shared" si="3"/>
        <v>0</v>
      </c>
      <c r="U88" s="32"/>
    </row>
    <row r="89" spans="1:21" s="1" customFormat="1" ht="13.5" customHeight="1">
      <c r="A89" s="29" t="s">
        <v>115</v>
      </c>
      <c r="B89" s="29"/>
      <c r="C89" s="29"/>
      <c r="D89" s="29"/>
      <c r="E89" s="29"/>
      <c r="F89" s="29"/>
      <c r="G89" s="29"/>
      <c r="H89" s="29"/>
      <c r="I89" s="30" t="s">
        <v>94</v>
      </c>
      <c r="J89" s="30"/>
      <c r="K89" s="30" t="s">
        <v>152</v>
      </c>
      <c r="L89" s="30"/>
      <c r="M89" s="31">
        <f>5242812.84</f>
        <v>5242812.84</v>
      </c>
      <c r="N89" s="31"/>
      <c r="O89" s="31"/>
      <c r="P89" s="31">
        <f>5173336</f>
        <v>5173336</v>
      </c>
      <c r="Q89" s="31"/>
      <c r="R89" s="31"/>
      <c r="S89" s="31"/>
      <c r="T89" s="32">
        <f>69476.84</f>
        <v>69476.84</v>
      </c>
      <c r="U89" s="32"/>
    </row>
    <row r="90" spans="1:21" s="1" customFormat="1" ht="13.5" customHeight="1">
      <c r="A90" s="29" t="s">
        <v>109</v>
      </c>
      <c r="B90" s="29"/>
      <c r="C90" s="29"/>
      <c r="D90" s="29"/>
      <c r="E90" s="29"/>
      <c r="F90" s="29"/>
      <c r="G90" s="29"/>
      <c r="H90" s="29"/>
      <c r="I90" s="30" t="s">
        <v>94</v>
      </c>
      <c r="J90" s="30"/>
      <c r="K90" s="30" t="s">
        <v>153</v>
      </c>
      <c r="L90" s="30"/>
      <c r="M90" s="31">
        <f>180556</f>
        <v>180556</v>
      </c>
      <c r="N90" s="31"/>
      <c r="O90" s="31"/>
      <c r="P90" s="31">
        <f>180556</f>
        <v>180556</v>
      </c>
      <c r="Q90" s="31"/>
      <c r="R90" s="31"/>
      <c r="S90" s="31"/>
      <c r="T90" s="32">
        <f>0</f>
        <v>0</v>
      </c>
      <c r="U90" s="32"/>
    </row>
    <row r="91" spans="1:21" s="1" customFormat="1" ht="13.5" customHeight="1">
      <c r="A91" s="29" t="s">
        <v>120</v>
      </c>
      <c r="B91" s="29"/>
      <c r="C91" s="29"/>
      <c r="D91" s="29"/>
      <c r="E91" s="29"/>
      <c r="F91" s="29"/>
      <c r="G91" s="29"/>
      <c r="H91" s="29"/>
      <c r="I91" s="30" t="s">
        <v>94</v>
      </c>
      <c r="J91" s="30"/>
      <c r="K91" s="30" t="s">
        <v>154</v>
      </c>
      <c r="L91" s="30"/>
      <c r="M91" s="31">
        <f>6608</f>
        <v>6608</v>
      </c>
      <c r="N91" s="31"/>
      <c r="O91" s="31"/>
      <c r="P91" s="31">
        <f>6608</f>
        <v>6608</v>
      </c>
      <c r="Q91" s="31"/>
      <c r="R91" s="31"/>
      <c r="S91" s="31"/>
      <c r="T91" s="32">
        <f>0</f>
        <v>0</v>
      </c>
      <c r="U91" s="32"/>
    </row>
    <row r="92" spans="1:21" s="1" customFormat="1" ht="13.5" customHeight="1">
      <c r="A92" s="29" t="s">
        <v>122</v>
      </c>
      <c r="B92" s="29"/>
      <c r="C92" s="29"/>
      <c r="D92" s="29"/>
      <c r="E92" s="29"/>
      <c r="F92" s="29"/>
      <c r="G92" s="29"/>
      <c r="H92" s="29"/>
      <c r="I92" s="30" t="s">
        <v>94</v>
      </c>
      <c r="J92" s="30"/>
      <c r="K92" s="30" t="s">
        <v>155</v>
      </c>
      <c r="L92" s="30"/>
      <c r="M92" s="31">
        <f>83832.16</f>
        <v>83832.16</v>
      </c>
      <c r="N92" s="31"/>
      <c r="O92" s="31"/>
      <c r="P92" s="31">
        <f>83832.16</f>
        <v>83832.16</v>
      </c>
      <c r="Q92" s="31"/>
      <c r="R92" s="31"/>
      <c r="S92" s="31"/>
      <c r="T92" s="32">
        <f>0</f>
        <v>0</v>
      </c>
      <c r="U92" s="32"/>
    </row>
    <row r="93" spans="1:21" s="1" customFormat="1" ht="13.5" customHeight="1">
      <c r="A93" s="29" t="s">
        <v>115</v>
      </c>
      <c r="B93" s="29"/>
      <c r="C93" s="29"/>
      <c r="D93" s="29"/>
      <c r="E93" s="29"/>
      <c r="F93" s="29"/>
      <c r="G93" s="29"/>
      <c r="H93" s="29"/>
      <c r="I93" s="30" t="s">
        <v>94</v>
      </c>
      <c r="J93" s="30"/>
      <c r="K93" s="30" t="s">
        <v>156</v>
      </c>
      <c r="L93" s="30"/>
      <c r="M93" s="31">
        <f>9104300</f>
        <v>9104300</v>
      </c>
      <c r="N93" s="31"/>
      <c r="O93" s="31"/>
      <c r="P93" s="31">
        <f>9013788</f>
        <v>9013788</v>
      </c>
      <c r="Q93" s="31"/>
      <c r="R93" s="31"/>
      <c r="S93" s="31"/>
      <c r="T93" s="32">
        <f>90512</f>
        <v>90512</v>
      </c>
      <c r="U93" s="32"/>
    </row>
    <row r="94" spans="1:21" s="1" customFormat="1" ht="13.5" customHeight="1">
      <c r="A94" s="29" t="s">
        <v>109</v>
      </c>
      <c r="B94" s="29"/>
      <c r="C94" s="29"/>
      <c r="D94" s="29"/>
      <c r="E94" s="29"/>
      <c r="F94" s="29"/>
      <c r="G94" s="29"/>
      <c r="H94" s="29"/>
      <c r="I94" s="30" t="s">
        <v>94</v>
      </c>
      <c r="J94" s="30"/>
      <c r="K94" s="30" t="s">
        <v>157</v>
      </c>
      <c r="L94" s="30"/>
      <c r="M94" s="31">
        <f>99500</f>
        <v>99500</v>
      </c>
      <c r="N94" s="31"/>
      <c r="O94" s="31"/>
      <c r="P94" s="31">
        <f>99500</f>
        <v>99500</v>
      </c>
      <c r="Q94" s="31"/>
      <c r="R94" s="31"/>
      <c r="S94" s="31"/>
      <c r="T94" s="32">
        <f aca="true" t="shared" si="4" ref="T94:T107">0</f>
        <v>0</v>
      </c>
      <c r="U94" s="32"/>
    </row>
    <row r="95" spans="1:21" s="1" customFormat="1" ht="13.5" customHeight="1">
      <c r="A95" s="29" t="s">
        <v>115</v>
      </c>
      <c r="B95" s="29"/>
      <c r="C95" s="29"/>
      <c r="D95" s="29"/>
      <c r="E95" s="29"/>
      <c r="F95" s="29"/>
      <c r="G95" s="29"/>
      <c r="H95" s="29"/>
      <c r="I95" s="30" t="s">
        <v>94</v>
      </c>
      <c r="J95" s="30"/>
      <c r="K95" s="30" t="s">
        <v>158</v>
      </c>
      <c r="L95" s="30"/>
      <c r="M95" s="31">
        <f>9058</f>
        <v>9058</v>
      </c>
      <c r="N95" s="31"/>
      <c r="O95" s="31"/>
      <c r="P95" s="31">
        <f>9058</f>
        <v>9058</v>
      </c>
      <c r="Q95" s="31"/>
      <c r="R95" s="31"/>
      <c r="S95" s="31"/>
      <c r="T95" s="32">
        <f t="shared" si="4"/>
        <v>0</v>
      </c>
      <c r="U95" s="32"/>
    </row>
    <row r="96" spans="1:21" s="1" customFormat="1" ht="13.5" customHeight="1">
      <c r="A96" s="29" t="s">
        <v>109</v>
      </c>
      <c r="B96" s="29"/>
      <c r="C96" s="29"/>
      <c r="D96" s="29"/>
      <c r="E96" s="29"/>
      <c r="F96" s="29"/>
      <c r="G96" s="29"/>
      <c r="H96" s="29"/>
      <c r="I96" s="30" t="s">
        <v>94</v>
      </c>
      <c r="J96" s="30"/>
      <c r="K96" s="30" t="s">
        <v>159</v>
      </c>
      <c r="L96" s="30"/>
      <c r="M96" s="31">
        <f>0</f>
        <v>0</v>
      </c>
      <c r="N96" s="31"/>
      <c r="O96" s="31"/>
      <c r="P96" s="31">
        <f>0</f>
        <v>0</v>
      </c>
      <c r="Q96" s="31"/>
      <c r="R96" s="31"/>
      <c r="S96" s="31"/>
      <c r="T96" s="32">
        <f t="shared" si="4"/>
        <v>0</v>
      </c>
      <c r="U96" s="32"/>
    </row>
    <row r="97" spans="1:21" s="1" customFormat="1" ht="13.5" customHeight="1">
      <c r="A97" s="29" t="s">
        <v>120</v>
      </c>
      <c r="B97" s="29"/>
      <c r="C97" s="29"/>
      <c r="D97" s="29"/>
      <c r="E97" s="29"/>
      <c r="F97" s="29"/>
      <c r="G97" s="29"/>
      <c r="H97" s="29"/>
      <c r="I97" s="30" t="s">
        <v>94</v>
      </c>
      <c r="J97" s="30"/>
      <c r="K97" s="30" t="s">
        <v>160</v>
      </c>
      <c r="L97" s="30"/>
      <c r="M97" s="31">
        <f>0</f>
        <v>0</v>
      </c>
      <c r="N97" s="31"/>
      <c r="O97" s="31"/>
      <c r="P97" s="31">
        <f>0</f>
        <v>0</v>
      </c>
      <c r="Q97" s="31"/>
      <c r="R97" s="31"/>
      <c r="S97" s="31"/>
      <c r="T97" s="32">
        <f t="shared" si="4"/>
        <v>0</v>
      </c>
      <c r="U97" s="32"/>
    </row>
    <row r="98" spans="1:21" s="1" customFormat="1" ht="13.5" customHeight="1">
      <c r="A98" s="29" t="s">
        <v>115</v>
      </c>
      <c r="B98" s="29"/>
      <c r="C98" s="29"/>
      <c r="D98" s="29"/>
      <c r="E98" s="29"/>
      <c r="F98" s="29"/>
      <c r="G98" s="29"/>
      <c r="H98" s="29"/>
      <c r="I98" s="30" t="s">
        <v>94</v>
      </c>
      <c r="J98" s="30"/>
      <c r="K98" s="30" t="s">
        <v>161</v>
      </c>
      <c r="L98" s="30"/>
      <c r="M98" s="31">
        <f>1496133.43</f>
        <v>1496133.43</v>
      </c>
      <c r="N98" s="31"/>
      <c r="O98" s="31"/>
      <c r="P98" s="31">
        <f>1496133.43</f>
        <v>1496133.43</v>
      </c>
      <c r="Q98" s="31"/>
      <c r="R98" s="31"/>
      <c r="S98" s="31"/>
      <c r="T98" s="32">
        <f t="shared" si="4"/>
        <v>0</v>
      </c>
      <c r="U98" s="32"/>
    </row>
    <row r="99" spans="1:21" s="1" customFormat="1" ht="13.5" customHeight="1">
      <c r="A99" s="29" t="s">
        <v>109</v>
      </c>
      <c r="B99" s="29"/>
      <c r="C99" s="29"/>
      <c r="D99" s="29"/>
      <c r="E99" s="29"/>
      <c r="F99" s="29"/>
      <c r="G99" s="29"/>
      <c r="H99" s="29"/>
      <c r="I99" s="30" t="s">
        <v>94</v>
      </c>
      <c r="J99" s="30"/>
      <c r="K99" s="30" t="s">
        <v>162</v>
      </c>
      <c r="L99" s="30"/>
      <c r="M99" s="31">
        <f>417061</f>
        <v>417061</v>
      </c>
      <c r="N99" s="31"/>
      <c r="O99" s="31"/>
      <c r="P99" s="31">
        <f>417061</f>
        <v>417061</v>
      </c>
      <c r="Q99" s="31"/>
      <c r="R99" s="31"/>
      <c r="S99" s="31"/>
      <c r="T99" s="32">
        <f t="shared" si="4"/>
        <v>0</v>
      </c>
      <c r="U99" s="32"/>
    </row>
    <row r="100" spans="1:21" s="1" customFormat="1" ht="13.5" customHeight="1">
      <c r="A100" s="29" t="s">
        <v>120</v>
      </c>
      <c r="B100" s="29"/>
      <c r="C100" s="29"/>
      <c r="D100" s="29"/>
      <c r="E100" s="29"/>
      <c r="F100" s="29"/>
      <c r="G100" s="29"/>
      <c r="H100" s="29"/>
      <c r="I100" s="30" t="s">
        <v>94</v>
      </c>
      <c r="J100" s="30"/>
      <c r="K100" s="30" t="s">
        <v>163</v>
      </c>
      <c r="L100" s="30"/>
      <c r="M100" s="31">
        <f>0</f>
        <v>0</v>
      </c>
      <c r="N100" s="31"/>
      <c r="O100" s="31"/>
      <c r="P100" s="33" t="s">
        <v>44</v>
      </c>
      <c r="Q100" s="33"/>
      <c r="R100" s="33"/>
      <c r="S100" s="33"/>
      <c r="T100" s="32">
        <f t="shared" si="4"/>
        <v>0</v>
      </c>
      <c r="U100" s="32"/>
    </row>
    <row r="101" spans="1:21" s="1" customFormat="1" ht="13.5" customHeight="1">
      <c r="A101" s="29" t="s">
        <v>109</v>
      </c>
      <c r="B101" s="29"/>
      <c r="C101" s="29"/>
      <c r="D101" s="29"/>
      <c r="E101" s="29"/>
      <c r="F101" s="29"/>
      <c r="G101" s="29"/>
      <c r="H101" s="29"/>
      <c r="I101" s="30" t="s">
        <v>94</v>
      </c>
      <c r="J101" s="30"/>
      <c r="K101" s="30" t="s">
        <v>164</v>
      </c>
      <c r="L101" s="30"/>
      <c r="M101" s="31">
        <f>0</f>
        <v>0</v>
      </c>
      <c r="N101" s="31"/>
      <c r="O101" s="31"/>
      <c r="P101" s="31">
        <f>0</f>
        <v>0</v>
      </c>
      <c r="Q101" s="31"/>
      <c r="R101" s="31"/>
      <c r="S101" s="31"/>
      <c r="T101" s="32">
        <f t="shared" si="4"/>
        <v>0</v>
      </c>
      <c r="U101" s="32"/>
    </row>
    <row r="102" spans="1:21" s="1" customFormat="1" ht="13.5" customHeight="1">
      <c r="A102" s="29" t="s">
        <v>120</v>
      </c>
      <c r="B102" s="29"/>
      <c r="C102" s="29"/>
      <c r="D102" s="29"/>
      <c r="E102" s="29"/>
      <c r="F102" s="29"/>
      <c r="G102" s="29"/>
      <c r="H102" s="29"/>
      <c r="I102" s="30" t="s">
        <v>94</v>
      </c>
      <c r="J102" s="30"/>
      <c r="K102" s="30" t="s">
        <v>165</v>
      </c>
      <c r="L102" s="30"/>
      <c r="M102" s="31">
        <f>53903217.16</f>
        <v>53903217.16</v>
      </c>
      <c r="N102" s="31"/>
      <c r="O102" s="31"/>
      <c r="P102" s="31">
        <f>53903217.16</f>
        <v>53903217.16</v>
      </c>
      <c r="Q102" s="31"/>
      <c r="R102" s="31"/>
      <c r="S102" s="31"/>
      <c r="T102" s="32">
        <f t="shared" si="4"/>
        <v>0</v>
      </c>
      <c r="U102" s="32"/>
    </row>
    <row r="103" spans="1:21" s="1" customFormat="1" ht="13.5" customHeight="1">
      <c r="A103" s="29" t="s">
        <v>120</v>
      </c>
      <c r="B103" s="29"/>
      <c r="C103" s="29"/>
      <c r="D103" s="29"/>
      <c r="E103" s="29"/>
      <c r="F103" s="29"/>
      <c r="G103" s="29"/>
      <c r="H103" s="29"/>
      <c r="I103" s="30" t="s">
        <v>94</v>
      </c>
      <c r="J103" s="30"/>
      <c r="K103" s="30" t="s">
        <v>166</v>
      </c>
      <c r="L103" s="30"/>
      <c r="M103" s="31">
        <f>0</f>
        <v>0</v>
      </c>
      <c r="N103" s="31"/>
      <c r="O103" s="31"/>
      <c r="P103" s="31">
        <f>0</f>
        <v>0</v>
      </c>
      <c r="Q103" s="31"/>
      <c r="R103" s="31"/>
      <c r="S103" s="31"/>
      <c r="T103" s="32">
        <f t="shared" si="4"/>
        <v>0</v>
      </c>
      <c r="U103" s="32"/>
    </row>
    <row r="104" spans="1:21" s="1" customFormat="1" ht="13.5" customHeight="1">
      <c r="A104" s="29" t="s">
        <v>109</v>
      </c>
      <c r="B104" s="29"/>
      <c r="C104" s="29"/>
      <c r="D104" s="29"/>
      <c r="E104" s="29"/>
      <c r="F104" s="29"/>
      <c r="G104" s="29"/>
      <c r="H104" s="29"/>
      <c r="I104" s="30" t="s">
        <v>94</v>
      </c>
      <c r="J104" s="30"/>
      <c r="K104" s="30" t="s">
        <v>167</v>
      </c>
      <c r="L104" s="30"/>
      <c r="M104" s="31">
        <f>5348927.1</f>
        <v>5348927.1</v>
      </c>
      <c r="N104" s="31"/>
      <c r="O104" s="31"/>
      <c r="P104" s="31">
        <f>5348927.1</f>
        <v>5348927.1</v>
      </c>
      <c r="Q104" s="31"/>
      <c r="R104" s="31"/>
      <c r="S104" s="31"/>
      <c r="T104" s="32">
        <f t="shared" si="4"/>
        <v>0</v>
      </c>
      <c r="U104" s="32"/>
    </row>
    <row r="105" spans="1:21" s="1" customFormat="1" ht="13.5" customHeight="1">
      <c r="A105" s="29" t="s">
        <v>120</v>
      </c>
      <c r="B105" s="29"/>
      <c r="C105" s="29"/>
      <c r="D105" s="29"/>
      <c r="E105" s="29"/>
      <c r="F105" s="29"/>
      <c r="G105" s="29"/>
      <c r="H105" s="29"/>
      <c r="I105" s="30" t="s">
        <v>94</v>
      </c>
      <c r="J105" s="30"/>
      <c r="K105" s="30" t="s">
        <v>168</v>
      </c>
      <c r="L105" s="30"/>
      <c r="M105" s="31">
        <f>11179001.86</f>
        <v>11179001.86</v>
      </c>
      <c r="N105" s="31"/>
      <c r="O105" s="31"/>
      <c r="P105" s="31">
        <f>11179001.86</f>
        <v>11179001.86</v>
      </c>
      <c r="Q105" s="31"/>
      <c r="R105" s="31"/>
      <c r="S105" s="31"/>
      <c r="T105" s="32">
        <f t="shared" si="4"/>
        <v>0</v>
      </c>
      <c r="U105" s="32"/>
    </row>
    <row r="106" spans="1:21" s="1" customFormat="1" ht="13.5" customHeight="1">
      <c r="A106" s="29" t="s">
        <v>109</v>
      </c>
      <c r="B106" s="29"/>
      <c r="C106" s="29"/>
      <c r="D106" s="29"/>
      <c r="E106" s="29"/>
      <c r="F106" s="29"/>
      <c r="G106" s="29"/>
      <c r="H106" s="29"/>
      <c r="I106" s="30" t="s">
        <v>94</v>
      </c>
      <c r="J106" s="30"/>
      <c r="K106" s="30" t="s">
        <v>169</v>
      </c>
      <c r="L106" s="30"/>
      <c r="M106" s="31">
        <f>0</f>
        <v>0</v>
      </c>
      <c r="N106" s="31"/>
      <c r="O106" s="31"/>
      <c r="P106" s="31">
        <f>0</f>
        <v>0</v>
      </c>
      <c r="Q106" s="31"/>
      <c r="R106" s="31"/>
      <c r="S106" s="31"/>
      <c r="T106" s="32">
        <f t="shared" si="4"/>
        <v>0</v>
      </c>
      <c r="U106" s="32"/>
    </row>
    <row r="107" spans="1:21" s="1" customFormat="1" ht="13.5" customHeight="1">
      <c r="A107" s="29" t="s">
        <v>120</v>
      </c>
      <c r="B107" s="29"/>
      <c r="C107" s="29"/>
      <c r="D107" s="29"/>
      <c r="E107" s="29"/>
      <c r="F107" s="29"/>
      <c r="G107" s="29"/>
      <c r="H107" s="29"/>
      <c r="I107" s="30" t="s">
        <v>94</v>
      </c>
      <c r="J107" s="30"/>
      <c r="K107" s="30" t="s">
        <v>170</v>
      </c>
      <c r="L107" s="30"/>
      <c r="M107" s="31">
        <f>0</f>
        <v>0</v>
      </c>
      <c r="N107" s="31"/>
      <c r="O107" s="31"/>
      <c r="P107" s="31">
        <f>0</f>
        <v>0</v>
      </c>
      <c r="Q107" s="31"/>
      <c r="R107" s="31"/>
      <c r="S107" s="31"/>
      <c r="T107" s="32">
        <f t="shared" si="4"/>
        <v>0</v>
      </c>
      <c r="U107" s="32"/>
    </row>
    <row r="108" spans="1:21" s="1" customFormat="1" ht="13.5" customHeight="1">
      <c r="A108" s="29" t="s">
        <v>115</v>
      </c>
      <c r="B108" s="29"/>
      <c r="C108" s="29"/>
      <c r="D108" s="29"/>
      <c r="E108" s="29"/>
      <c r="F108" s="29"/>
      <c r="G108" s="29"/>
      <c r="H108" s="29"/>
      <c r="I108" s="30" t="s">
        <v>94</v>
      </c>
      <c r="J108" s="30"/>
      <c r="K108" s="30" t="s">
        <v>171</v>
      </c>
      <c r="L108" s="30"/>
      <c r="M108" s="31">
        <f>1279075</f>
        <v>1279075</v>
      </c>
      <c r="N108" s="31"/>
      <c r="O108" s="31"/>
      <c r="P108" s="31">
        <f>1270792.5</f>
        <v>1270792.5</v>
      </c>
      <c r="Q108" s="31"/>
      <c r="R108" s="31"/>
      <c r="S108" s="31"/>
      <c r="T108" s="32">
        <f>8282.5</f>
        <v>8282.5</v>
      </c>
      <c r="U108" s="32"/>
    </row>
    <row r="109" spans="1:21" s="1" customFormat="1" ht="13.5" customHeight="1">
      <c r="A109" s="29" t="s">
        <v>109</v>
      </c>
      <c r="B109" s="29"/>
      <c r="C109" s="29"/>
      <c r="D109" s="29"/>
      <c r="E109" s="29"/>
      <c r="F109" s="29"/>
      <c r="G109" s="29"/>
      <c r="H109" s="29"/>
      <c r="I109" s="30" t="s">
        <v>94</v>
      </c>
      <c r="J109" s="30"/>
      <c r="K109" s="30" t="s">
        <v>172</v>
      </c>
      <c r="L109" s="30"/>
      <c r="M109" s="31">
        <f>20925</f>
        <v>20925</v>
      </c>
      <c r="N109" s="31"/>
      <c r="O109" s="31"/>
      <c r="P109" s="31">
        <f>13350</f>
        <v>13350</v>
      </c>
      <c r="Q109" s="31"/>
      <c r="R109" s="31"/>
      <c r="S109" s="31"/>
      <c r="T109" s="32">
        <f>7575</f>
        <v>7575</v>
      </c>
      <c r="U109" s="32"/>
    </row>
    <row r="110" spans="1:21" s="1" customFormat="1" ht="13.5" customHeight="1">
      <c r="A110" s="29" t="s">
        <v>120</v>
      </c>
      <c r="B110" s="29"/>
      <c r="C110" s="29"/>
      <c r="D110" s="29"/>
      <c r="E110" s="29"/>
      <c r="F110" s="29"/>
      <c r="G110" s="29"/>
      <c r="H110" s="29"/>
      <c r="I110" s="30" t="s">
        <v>94</v>
      </c>
      <c r="J110" s="30"/>
      <c r="K110" s="30" t="s">
        <v>173</v>
      </c>
      <c r="L110" s="30"/>
      <c r="M110" s="31">
        <f>2155000</f>
        <v>2155000</v>
      </c>
      <c r="N110" s="31"/>
      <c r="O110" s="31"/>
      <c r="P110" s="31">
        <f>2155000</f>
        <v>2155000</v>
      </c>
      <c r="Q110" s="31"/>
      <c r="R110" s="31"/>
      <c r="S110" s="31"/>
      <c r="T110" s="32">
        <f>0</f>
        <v>0</v>
      </c>
      <c r="U110" s="32"/>
    </row>
    <row r="111" spans="1:21" s="1" customFormat="1" ht="13.5" customHeight="1">
      <c r="A111" s="29" t="s">
        <v>109</v>
      </c>
      <c r="B111" s="29"/>
      <c r="C111" s="29"/>
      <c r="D111" s="29"/>
      <c r="E111" s="29"/>
      <c r="F111" s="29"/>
      <c r="G111" s="29"/>
      <c r="H111" s="29"/>
      <c r="I111" s="30" t="s">
        <v>94</v>
      </c>
      <c r="J111" s="30"/>
      <c r="K111" s="30" t="s">
        <v>174</v>
      </c>
      <c r="L111" s="30"/>
      <c r="M111" s="31">
        <f>360000</f>
        <v>360000</v>
      </c>
      <c r="N111" s="31"/>
      <c r="O111" s="31"/>
      <c r="P111" s="31">
        <f>334390.77</f>
        <v>334390.77</v>
      </c>
      <c r="Q111" s="31"/>
      <c r="R111" s="31"/>
      <c r="S111" s="31"/>
      <c r="T111" s="32">
        <f>25609.23</f>
        <v>25609.23</v>
      </c>
      <c r="U111" s="32"/>
    </row>
    <row r="112" spans="1:21" s="1" customFormat="1" ht="13.5" customHeight="1">
      <c r="A112" s="29" t="s">
        <v>115</v>
      </c>
      <c r="B112" s="29"/>
      <c r="C112" s="29"/>
      <c r="D112" s="29"/>
      <c r="E112" s="29"/>
      <c r="F112" s="29"/>
      <c r="G112" s="29"/>
      <c r="H112" s="29"/>
      <c r="I112" s="30" t="s">
        <v>94</v>
      </c>
      <c r="J112" s="30"/>
      <c r="K112" s="30" t="s">
        <v>175</v>
      </c>
      <c r="L112" s="30"/>
      <c r="M112" s="31">
        <f>116600</f>
        <v>116600</v>
      </c>
      <c r="N112" s="31"/>
      <c r="O112" s="31"/>
      <c r="P112" s="31">
        <f>116600</f>
        <v>116600</v>
      </c>
      <c r="Q112" s="31"/>
      <c r="R112" s="31"/>
      <c r="S112" s="31"/>
      <c r="T112" s="32">
        <f aca="true" t="shared" si="5" ref="T112:T118">0</f>
        <v>0</v>
      </c>
      <c r="U112" s="32"/>
    </row>
    <row r="113" spans="1:21" s="1" customFormat="1" ht="13.5" customHeight="1">
      <c r="A113" s="29" t="s">
        <v>109</v>
      </c>
      <c r="B113" s="29"/>
      <c r="C113" s="29"/>
      <c r="D113" s="29"/>
      <c r="E113" s="29"/>
      <c r="F113" s="29"/>
      <c r="G113" s="29"/>
      <c r="H113" s="29"/>
      <c r="I113" s="30" t="s">
        <v>94</v>
      </c>
      <c r="J113" s="30"/>
      <c r="K113" s="30" t="s">
        <v>176</v>
      </c>
      <c r="L113" s="30"/>
      <c r="M113" s="31">
        <f>27900</f>
        <v>27900</v>
      </c>
      <c r="N113" s="31"/>
      <c r="O113" s="31"/>
      <c r="P113" s="31">
        <f>27900</f>
        <v>27900</v>
      </c>
      <c r="Q113" s="31"/>
      <c r="R113" s="31"/>
      <c r="S113" s="31"/>
      <c r="T113" s="32">
        <f t="shared" si="5"/>
        <v>0</v>
      </c>
      <c r="U113" s="32"/>
    </row>
    <row r="114" spans="1:21" s="1" customFormat="1" ht="13.5" customHeight="1">
      <c r="A114" s="29" t="s">
        <v>120</v>
      </c>
      <c r="B114" s="29"/>
      <c r="C114" s="29"/>
      <c r="D114" s="29"/>
      <c r="E114" s="29"/>
      <c r="F114" s="29"/>
      <c r="G114" s="29"/>
      <c r="H114" s="29"/>
      <c r="I114" s="30" t="s">
        <v>94</v>
      </c>
      <c r="J114" s="30"/>
      <c r="K114" s="30" t="s">
        <v>177</v>
      </c>
      <c r="L114" s="30"/>
      <c r="M114" s="31">
        <f>455000</f>
        <v>455000</v>
      </c>
      <c r="N114" s="31"/>
      <c r="O114" s="31"/>
      <c r="P114" s="31">
        <f>455000</f>
        <v>455000</v>
      </c>
      <c r="Q114" s="31"/>
      <c r="R114" s="31"/>
      <c r="S114" s="31"/>
      <c r="T114" s="32">
        <f t="shared" si="5"/>
        <v>0</v>
      </c>
      <c r="U114" s="32"/>
    </row>
    <row r="115" spans="1:21" s="1" customFormat="1" ht="13.5" customHeight="1">
      <c r="A115" s="29" t="s">
        <v>112</v>
      </c>
      <c r="B115" s="29"/>
      <c r="C115" s="29"/>
      <c r="D115" s="29"/>
      <c r="E115" s="29"/>
      <c r="F115" s="29"/>
      <c r="G115" s="29"/>
      <c r="H115" s="29"/>
      <c r="I115" s="30" t="s">
        <v>94</v>
      </c>
      <c r="J115" s="30"/>
      <c r="K115" s="30" t="s">
        <v>178</v>
      </c>
      <c r="L115" s="30"/>
      <c r="M115" s="31">
        <f>1567491</f>
        <v>1567491</v>
      </c>
      <c r="N115" s="31"/>
      <c r="O115" s="31"/>
      <c r="P115" s="31">
        <f>1567491</f>
        <v>1567491</v>
      </c>
      <c r="Q115" s="31"/>
      <c r="R115" s="31"/>
      <c r="S115" s="31"/>
      <c r="T115" s="32">
        <f t="shared" si="5"/>
        <v>0</v>
      </c>
      <c r="U115" s="32"/>
    </row>
    <row r="116" spans="1:21" s="1" customFormat="1" ht="13.5" customHeight="1">
      <c r="A116" s="29" t="s">
        <v>115</v>
      </c>
      <c r="B116" s="29"/>
      <c r="C116" s="29"/>
      <c r="D116" s="29"/>
      <c r="E116" s="29"/>
      <c r="F116" s="29"/>
      <c r="G116" s="29"/>
      <c r="H116" s="29"/>
      <c r="I116" s="30" t="s">
        <v>94</v>
      </c>
      <c r="J116" s="30"/>
      <c r="K116" s="30" t="s">
        <v>179</v>
      </c>
      <c r="L116" s="30"/>
      <c r="M116" s="31">
        <f>880080</f>
        <v>880080</v>
      </c>
      <c r="N116" s="31"/>
      <c r="O116" s="31"/>
      <c r="P116" s="31">
        <f>880080</f>
        <v>880080</v>
      </c>
      <c r="Q116" s="31"/>
      <c r="R116" s="31"/>
      <c r="S116" s="31"/>
      <c r="T116" s="32">
        <f t="shared" si="5"/>
        <v>0</v>
      </c>
      <c r="U116" s="32"/>
    </row>
    <row r="117" spans="1:21" s="1" customFormat="1" ht="13.5" customHeight="1">
      <c r="A117" s="29" t="s">
        <v>109</v>
      </c>
      <c r="B117" s="29"/>
      <c r="C117" s="29"/>
      <c r="D117" s="29"/>
      <c r="E117" s="29"/>
      <c r="F117" s="29"/>
      <c r="G117" s="29"/>
      <c r="H117" s="29"/>
      <c r="I117" s="30" t="s">
        <v>94</v>
      </c>
      <c r="J117" s="30"/>
      <c r="K117" s="30" t="s">
        <v>180</v>
      </c>
      <c r="L117" s="30"/>
      <c r="M117" s="31">
        <f>200065.76</f>
        <v>200065.76</v>
      </c>
      <c r="N117" s="31"/>
      <c r="O117" s="31"/>
      <c r="P117" s="31">
        <f>200065.76</f>
        <v>200065.76</v>
      </c>
      <c r="Q117" s="31"/>
      <c r="R117" s="31"/>
      <c r="S117" s="31"/>
      <c r="T117" s="32">
        <f t="shared" si="5"/>
        <v>0</v>
      </c>
      <c r="U117" s="32"/>
    </row>
    <row r="118" spans="1:21" s="1" customFormat="1" ht="13.5" customHeight="1">
      <c r="A118" s="29" t="s">
        <v>118</v>
      </c>
      <c r="B118" s="29"/>
      <c r="C118" s="29"/>
      <c r="D118" s="29"/>
      <c r="E118" s="29"/>
      <c r="F118" s="29"/>
      <c r="G118" s="29"/>
      <c r="H118" s="29"/>
      <c r="I118" s="30" t="s">
        <v>94</v>
      </c>
      <c r="J118" s="30"/>
      <c r="K118" s="30" t="s">
        <v>181</v>
      </c>
      <c r="L118" s="30"/>
      <c r="M118" s="31">
        <f>0</f>
        <v>0</v>
      </c>
      <c r="N118" s="31"/>
      <c r="O118" s="31"/>
      <c r="P118" s="33" t="s">
        <v>44</v>
      </c>
      <c r="Q118" s="33"/>
      <c r="R118" s="33"/>
      <c r="S118" s="33"/>
      <c r="T118" s="32">
        <f t="shared" si="5"/>
        <v>0</v>
      </c>
      <c r="U118" s="32"/>
    </row>
    <row r="119" spans="1:21" s="1" customFormat="1" ht="13.5" customHeight="1">
      <c r="A119" s="29" t="s">
        <v>122</v>
      </c>
      <c r="B119" s="29"/>
      <c r="C119" s="29"/>
      <c r="D119" s="29"/>
      <c r="E119" s="29"/>
      <c r="F119" s="29"/>
      <c r="G119" s="29"/>
      <c r="H119" s="29"/>
      <c r="I119" s="30" t="s">
        <v>94</v>
      </c>
      <c r="J119" s="30"/>
      <c r="K119" s="30" t="s">
        <v>182</v>
      </c>
      <c r="L119" s="30"/>
      <c r="M119" s="31">
        <f>122939</f>
        <v>122939</v>
      </c>
      <c r="N119" s="31"/>
      <c r="O119" s="31"/>
      <c r="P119" s="31">
        <f>119389</f>
        <v>119389</v>
      </c>
      <c r="Q119" s="31"/>
      <c r="R119" s="31"/>
      <c r="S119" s="31"/>
      <c r="T119" s="32">
        <f>3550</f>
        <v>3550</v>
      </c>
      <c r="U119" s="32"/>
    </row>
    <row r="120" spans="1:21" s="1" customFormat="1" ht="13.5" customHeight="1">
      <c r="A120" s="29" t="s">
        <v>118</v>
      </c>
      <c r="B120" s="29"/>
      <c r="C120" s="29"/>
      <c r="D120" s="29"/>
      <c r="E120" s="29"/>
      <c r="F120" s="29"/>
      <c r="G120" s="29"/>
      <c r="H120" s="29"/>
      <c r="I120" s="30" t="s">
        <v>94</v>
      </c>
      <c r="J120" s="30"/>
      <c r="K120" s="30" t="s">
        <v>183</v>
      </c>
      <c r="L120" s="30"/>
      <c r="M120" s="31">
        <f>800707.7</f>
        <v>800707.7</v>
      </c>
      <c r="N120" s="31"/>
      <c r="O120" s="31"/>
      <c r="P120" s="31">
        <f>800707.7</f>
        <v>800707.7</v>
      </c>
      <c r="Q120" s="31"/>
      <c r="R120" s="31"/>
      <c r="S120" s="31"/>
      <c r="T120" s="32">
        <f aca="true" t="shared" si="6" ref="T120:T125">0</f>
        <v>0</v>
      </c>
      <c r="U120" s="32"/>
    </row>
    <row r="121" spans="1:21" s="1" customFormat="1" ht="13.5" customHeight="1">
      <c r="A121" s="29" t="s">
        <v>115</v>
      </c>
      <c r="B121" s="29"/>
      <c r="C121" s="29"/>
      <c r="D121" s="29"/>
      <c r="E121" s="29"/>
      <c r="F121" s="29"/>
      <c r="G121" s="29"/>
      <c r="H121" s="29"/>
      <c r="I121" s="30" t="s">
        <v>94</v>
      </c>
      <c r="J121" s="30"/>
      <c r="K121" s="30" t="s">
        <v>184</v>
      </c>
      <c r="L121" s="30"/>
      <c r="M121" s="31">
        <f>975017</f>
        <v>975017</v>
      </c>
      <c r="N121" s="31"/>
      <c r="O121" s="31"/>
      <c r="P121" s="31">
        <f>975017</f>
        <v>975017</v>
      </c>
      <c r="Q121" s="31"/>
      <c r="R121" s="31"/>
      <c r="S121" s="31"/>
      <c r="T121" s="32">
        <f t="shared" si="6"/>
        <v>0</v>
      </c>
      <c r="U121" s="32"/>
    </row>
    <row r="122" spans="1:21" s="1" customFormat="1" ht="13.5" customHeight="1">
      <c r="A122" s="29" t="s">
        <v>122</v>
      </c>
      <c r="B122" s="29"/>
      <c r="C122" s="29"/>
      <c r="D122" s="29"/>
      <c r="E122" s="29"/>
      <c r="F122" s="29"/>
      <c r="G122" s="29"/>
      <c r="H122" s="29"/>
      <c r="I122" s="30" t="s">
        <v>94</v>
      </c>
      <c r="J122" s="30"/>
      <c r="K122" s="30" t="s">
        <v>185</v>
      </c>
      <c r="L122" s="30"/>
      <c r="M122" s="31">
        <f>54000</f>
        <v>54000</v>
      </c>
      <c r="N122" s="31"/>
      <c r="O122" s="31"/>
      <c r="P122" s="31">
        <f>54000</f>
        <v>54000</v>
      </c>
      <c r="Q122" s="31"/>
      <c r="R122" s="31"/>
      <c r="S122" s="31"/>
      <c r="T122" s="32">
        <f t="shared" si="6"/>
        <v>0</v>
      </c>
      <c r="U122" s="32"/>
    </row>
    <row r="123" spans="1:21" s="1" customFormat="1" ht="13.5" customHeight="1">
      <c r="A123" s="29" t="s">
        <v>115</v>
      </c>
      <c r="B123" s="29"/>
      <c r="C123" s="29"/>
      <c r="D123" s="29"/>
      <c r="E123" s="29"/>
      <c r="F123" s="29"/>
      <c r="G123" s="29"/>
      <c r="H123" s="29"/>
      <c r="I123" s="30" t="s">
        <v>94</v>
      </c>
      <c r="J123" s="30"/>
      <c r="K123" s="30" t="s">
        <v>186</v>
      </c>
      <c r="L123" s="30"/>
      <c r="M123" s="31">
        <f>497938</f>
        <v>497938</v>
      </c>
      <c r="N123" s="31"/>
      <c r="O123" s="31"/>
      <c r="P123" s="31">
        <f>497938</f>
        <v>497938</v>
      </c>
      <c r="Q123" s="31"/>
      <c r="R123" s="31"/>
      <c r="S123" s="31"/>
      <c r="T123" s="32">
        <f t="shared" si="6"/>
        <v>0</v>
      </c>
      <c r="U123" s="32"/>
    </row>
    <row r="124" spans="1:21" s="1" customFormat="1" ht="13.5" customHeight="1">
      <c r="A124" s="29" t="s">
        <v>120</v>
      </c>
      <c r="B124" s="29"/>
      <c r="C124" s="29"/>
      <c r="D124" s="29"/>
      <c r="E124" s="29"/>
      <c r="F124" s="29"/>
      <c r="G124" s="29"/>
      <c r="H124" s="29"/>
      <c r="I124" s="30" t="s">
        <v>94</v>
      </c>
      <c r="J124" s="30"/>
      <c r="K124" s="30" t="s">
        <v>187</v>
      </c>
      <c r="L124" s="30"/>
      <c r="M124" s="31">
        <f>0</f>
        <v>0</v>
      </c>
      <c r="N124" s="31"/>
      <c r="O124" s="31"/>
      <c r="P124" s="33" t="s">
        <v>44</v>
      </c>
      <c r="Q124" s="33"/>
      <c r="R124" s="33"/>
      <c r="S124" s="33"/>
      <c r="T124" s="32">
        <f t="shared" si="6"/>
        <v>0</v>
      </c>
      <c r="U124" s="32"/>
    </row>
    <row r="125" spans="1:21" s="1" customFormat="1" ht="13.5" customHeight="1">
      <c r="A125" s="29" t="s">
        <v>132</v>
      </c>
      <c r="B125" s="29"/>
      <c r="C125" s="29"/>
      <c r="D125" s="29"/>
      <c r="E125" s="29"/>
      <c r="F125" s="29"/>
      <c r="G125" s="29"/>
      <c r="H125" s="29"/>
      <c r="I125" s="30" t="s">
        <v>94</v>
      </c>
      <c r="J125" s="30"/>
      <c r="K125" s="30" t="s">
        <v>188</v>
      </c>
      <c r="L125" s="30"/>
      <c r="M125" s="31">
        <f>114280</f>
        <v>114280</v>
      </c>
      <c r="N125" s="31"/>
      <c r="O125" s="31"/>
      <c r="P125" s="31">
        <f>114280</f>
        <v>114280</v>
      </c>
      <c r="Q125" s="31"/>
      <c r="R125" s="31"/>
      <c r="S125" s="31"/>
      <c r="T125" s="32">
        <f t="shared" si="6"/>
        <v>0</v>
      </c>
      <c r="U125" s="32"/>
    </row>
    <row r="126" spans="1:21" s="1" customFormat="1" ht="13.5" customHeight="1">
      <c r="A126" s="29" t="s">
        <v>112</v>
      </c>
      <c r="B126" s="29"/>
      <c r="C126" s="29"/>
      <c r="D126" s="29"/>
      <c r="E126" s="29"/>
      <c r="F126" s="29"/>
      <c r="G126" s="29"/>
      <c r="H126" s="29"/>
      <c r="I126" s="30" t="s">
        <v>94</v>
      </c>
      <c r="J126" s="30"/>
      <c r="K126" s="30" t="s">
        <v>189</v>
      </c>
      <c r="L126" s="30"/>
      <c r="M126" s="31">
        <f>168200</f>
        <v>168200</v>
      </c>
      <c r="N126" s="31"/>
      <c r="O126" s="31"/>
      <c r="P126" s="31">
        <f>154204.37</f>
        <v>154204.37</v>
      </c>
      <c r="Q126" s="31"/>
      <c r="R126" s="31"/>
      <c r="S126" s="31"/>
      <c r="T126" s="32">
        <f>13995.63</f>
        <v>13995.63</v>
      </c>
      <c r="U126" s="32"/>
    </row>
    <row r="127" spans="1:21" s="1" customFormat="1" ht="13.5" customHeight="1">
      <c r="A127" s="29" t="s">
        <v>107</v>
      </c>
      <c r="B127" s="29"/>
      <c r="C127" s="29"/>
      <c r="D127" s="29"/>
      <c r="E127" s="29"/>
      <c r="F127" s="29"/>
      <c r="G127" s="29"/>
      <c r="H127" s="29"/>
      <c r="I127" s="30" t="s">
        <v>94</v>
      </c>
      <c r="J127" s="30"/>
      <c r="K127" s="30" t="s">
        <v>190</v>
      </c>
      <c r="L127" s="30"/>
      <c r="M127" s="31">
        <f>746370.62</f>
        <v>746370.62</v>
      </c>
      <c r="N127" s="31"/>
      <c r="O127" s="31"/>
      <c r="P127" s="31">
        <f>746370.62</f>
        <v>746370.62</v>
      </c>
      <c r="Q127" s="31"/>
      <c r="R127" s="31"/>
      <c r="S127" s="31"/>
      <c r="T127" s="32">
        <f>0</f>
        <v>0</v>
      </c>
      <c r="U127" s="32"/>
    </row>
    <row r="128" spans="1:21" s="1" customFormat="1" ht="13.5" customHeight="1">
      <c r="A128" s="29" t="s">
        <v>115</v>
      </c>
      <c r="B128" s="29"/>
      <c r="C128" s="29"/>
      <c r="D128" s="29"/>
      <c r="E128" s="29"/>
      <c r="F128" s="29"/>
      <c r="G128" s="29"/>
      <c r="H128" s="29"/>
      <c r="I128" s="30" t="s">
        <v>94</v>
      </c>
      <c r="J128" s="30"/>
      <c r="K128" s="30" t="s">
        <v>191</v>
      </c>
      <c r="L128" s="30"/>
      <c r="M128" s="31">
        <f>6480333.02</f>
        <v>6480333.02</v>
      </c>
      <c r="N128" s="31"/>
      <c r="O128" s="31"/>
      <c r="P128" s="31">
        <f>6390974.63</f>
        <v>6390974.63</v>
      </c>
      <c r="Q128" s="31"/>
      <c r="R128" s="31"/>
      <c r="S128" s="31"/>
      <c r="T128" s="32">
        <f>89358.39</f>
        <v>89358.39</v>
      </c>
      <c r="U128" s="32"/>
    </row>
    <row r="129" spans="1:21" s="1" customFormat="1" ht="13.5" customHeight="1">
      <c r="A129" s="29" t="s">
        <v>109</v>
      </c>
      <c r="B129" s="29"/>
      <c r="C129" s="29"/>
      <c r="D129" s="29"/>
      <c r="E129" s="29"/>
      <c r="F129" s="29"/>
      <c r="G129" s="29"/>
      <c r="H129" s="29"/>
      <c r="I129" s="30" t="s">
        <v>94</v>
      </c>
      <c r="J129" s="30"/>
      <c r="K129" s="30" t="s">
        <v>192</v>
      </c>
      <c r="L129" s="30"/>
      <c r="M129" s="31">
        <f>167740.38</f>
        <v>167740.38</v>
      </c>
      <c r="N129" s="31"/>
      <c r="O129" s="31"/>
      <c r="P129" s="31">
        <f>167284.46</f>
        <v>167284.46</v>
      </c>
      <c r="Q129" s="31"/>
      <c r="R129" s="31"/>
      <c r="S129" s="31"/>
      <c r="T129" s="32">
        <f>455.92</f>
        <v>455.92</v>
      </c>
      <c r="U129" s="32"/>
    </row>
    <row r="130" spans="1:21" s="1" customFormat="1" ht="13.5" customHeight="1">
      <c r="A130" s="29" t="s">
        <v>120</v>
      </c>
      <c r="B130" s="29"/>
      <c r="C130" s="29"/>
      <c r="D130" s="29"/>
      <c r="E130" s="29"/>
      <c r="F130" s="29"/>
      <c r="G130" s="29"/>
      <c r="H130" s="29"/>
      <c r="I130" s="30" t="s">
        <v>94</v>
      </c>
      <c r="J130" s="30"/>
      <c r="K130" s="30" t="s">
        <v>193</v>
      </c>
      <c r="L130" s="30"/>
      <c r="M130" s="31">
        <f>21000</f>
        <v>21000</v>
      </c>
      <c r="N130" s="31"/>
      <c r="O130" s="31"/>
      <c r="P130" s="31">
        <f>21000</f>
        <v>21000</v>
      </c>
      <c r="Q130" s="31"/>
      <c r="R130" s="31"/>
      <c r="S130" s="31"/>
      <c r="T130" s="32">
        <f>0</f>
        <v>0</v>
      </c>
      <c r="U130" s="32"/>
    </row>
    <row r="131" spans="1:21" s="1" customFormat="1" ht="13.5" customHeight="1">
      <c r="A131" s="29" t="s">
        <v>122</v>
      </c>
      <c r="B131" s="29"/>
      <c r="C131" s="29"/>
      <c r="D131" s="29"/>
      <c r="E131" s="29"/>
      <c r="F131" s="29"/>
      <c r="G131" s="29"/>
      <c r="H131" s="29"/>
      <c r="I131" s="30" t="s">
        <v>94</v>
      </c>
      <c r="J131" s="30"/>
      <c r="K131" s="30" t="s">
        <v>194</v>
      </c>
      <c r="L131" s="30"/>
      <c r="M131" s="31">
        <f>1174671</f>
        <v>1174671</v>
      </c>
      <c r="N131" s="31"/>
      <c r="O131" s="31"/>
      <c r="P131" s="31">
        <f>1134344.22</f>
        <v>1134344.22</v>
      </c>
      <c r="Q131" s="31"/>
      <c r="R131" s="31"/>
      <c r="S131" s="31"/>
      <c r="T131" s="32">
        <f>40326.78</f>
        <v>40326.78</v>
      </c>
      <c r="U131" s="32"/>
    </row>
    <row r="132" spans="1:21" s="1" customFormat="1" ht="13.5" customHeight="1">
      <c r="A132" s="29" t="s">
        <v>195</v>
      </c>
      <c r="B132" s="29"/>
      <c r="C132" s="29"/>
      <c r="D132" s="29"/>
      <c r="E132" s="29"/>
      <c r="F132" s="29"/>
      <c r="G132" s="29"/>
      <c r="H132" s="29"/>
      <c r="I132" s="30" t="s">
        <v>94</v>
      </c>
      <c r="J132" s="30"/>
      <c r="K132" s="30" t="s">
        <v>196</v>
      </c>
      <c r="L132" s="30"/>
      <c r="M132" s="31">
        <f>1400000</f>
        <v>1400000</v>
      </c>
      <c r="N132" s="31"/>
      <c r="O132" s="31"/>
      <c r="P132" s="31">
        <f>1400000</f>
        <v>1400000</v>
      </c>
      <c r="Q132" s="31"/>
      <c r="R132" s="31"/>
      <c r="S132" s="31"/>
      <c r="T132" s="32">
        <f>0</f>
        <v>0</v>
      </c>
      <c r="U132" s="32"/>
    </row>
    <row r="133" spans="1:21" s="1" customFormat="1" ht="13.5" customHeight="1">
      <c r="A133" s="29" t="s">
        <v>115</v>
      </c>
      <c r="B133" s="29"/>
      <c r="C133" s="29"/>
      <c r="D133" s="29"/>
      <c r="E133" s="29"/>
      <c r="F133" s="29"/>
      <c r="G133" s="29"/>
      <c r="H133" s="29"/>
      <c r="I133" s="30" t="s">
        <v>94</v>
      </c>
      <c r="J133" s="30"/>
      <c r="K133" s="30" t="s">
        <v>197</v>
      </c>
      <c r="L133" s="30"/>
      <c r="M133" s="31">
        <f>9885546.79</f>
        <v>9885546.79</v>
      </c>
      <c r="N133" s="31"/>
      <c r="O133" s="31"/>
      <c r="P133" s="31">
        <f>9885546.79</f>
        <v>9885546.79</v>
      </c>
      <c r="Q133" s="31"/>
      <c r="R133" s="31"/>
      <c r="S133" s="31"/>
      <c r="T133" s="32">
        <f>0</f>
        <v>0</v>
      </c>
      <c r="U133" s="32"/>
    </row>
    <row r="134" spans="1:21" s="1" customFormat="1" ht="13.5" customHeight="1">
      <c r="A134" s="29" t="s">
        <v>109</v>
      </c>
      <c r="B134" s="29"/>
      <c r="C134" s="29"/>
      <c r="D134" s="29"/>
      <c r="E134" s="29"/>
      <c r="F134" s="29"/>
      <c r="G134" s="29"/>
      <c r="H134" s="29"/>
      <c r="I134" s="30" t="s">
        <v>94</v>
      </c>
      <c r="J134" s="30"/>
      <c r="K134" s="30" t="s">
        <v>198</v>
      </c>
      <c r="L134" s="30"/>
      <c r="M134" s="31">
        <f>114453.21</f>
        <v>114453.21</v>
      </c>
      <c r="N134" s="31"/>
      <c r="O134" s="31"/>
      <c r="P134" s="31">
        <f>114453.21</f>
        <v>114453.21</v>
      </c>
      <c r="Q134" s="31"/>
      <c r="R134" s="31"/>
      <c r="S134" s="31"/>
      <c r="T134" s="32">
        <f>0</f>
        <v>0</v>
      </c>
      <c r="U134" s="32"/>
    </row>
    <row r="135" spans="1:21" s="1" customFormat="1" ht="13.5" customHeight="1">
      <c r="A135" s="29" t="s">
        <v>115</v>
      </c>
      <c r="B135" s="29"/>
      <c r="C135" s="29"/>
      <c r="D135" s="29"/>
      <c r="E135" s="29"/>
      <c r="F135" s="29"/>
      <c r="G135" s="29"/>
      <c r="H135" s="29"/>
      <c r="I135" s="30" t="s">
        <v>94</v>
      </c>
      <c r="J135" s="30"/>
      <c r="K135" s="30" t="s">
        <v>199</v>
      </c>
      <c r="L135" s="30"/>
      <c r="M135" s="31">
        <f>500000</f>
        <v>500000</v>
      </c>
      <c r="N135" s="31"/>
      <c r="O135" s="31"/>
      <c r="P135" s="33" t="s">
        <v>44</v>
      </c>
      <c r="Q135" s="33"/>
      <c r="R135" s="33"/>
      <c r="S135" s="33"/>
      <c r="T135" s="32">
        <f>500000</f>
        <v>500000</v>
      </c>
      <c r="U135" s="32"/>
    </row>
    <row r="136" spans="1:21" s="1" customFormat="1" ht="13.5" customHeight="1">
      <c r="A136" s="29" t="s">
        <v>195</v>
      </c>
      <c r="B136" s="29"/>
      <c r="C136" s="29"/>
      <c r="D136" s="29"/>
      <c r="E136" s="29"/>
      <c r="F136" s="29"/>
      <c r="G136" s="29"/>
      <c r="H136" s="29"/>
      <c r="I136" s="30" t="s">
        <v>94</v>
      </c>
      <c r="J136" s="30"/>
      <c r="K136" s="30" t="s">
        <v>200</v>
      </c>
      <c r="L136" s="30"/>
      <c r="M136" s="31">
        <f>326000</f>
        <v>326000</v>
      </c>
      <c r="N136" s="31"/>
      <c r="O136" s="31"/>
      <c r="P136" s="31">
        <f>326000</f>
        <v>326000</v>
      </c>
      <c r="Q136" s="31"/>
      <c r="R136" s="31"/>
      <c r="S136" s="31"/>
      <c r="T136" s="32">
        <f>0</f>
        <v>0</v>
      </c>
      <c r="U136" s="32"/>
    </row>
    <row r="137" spans="1:21" s="1" customFormat="1" ht="13.5" customHeight="1">
      <c r="A137" s="29" t="s">
        <v>195</v>
      </c>
      <c r="B137" s="29"/>
      <c r="C137" s="29"/>
      <c r="D137" s="29"/>
      <c r="E137" s="29"/>
      <c r="F137" s="29"/>
      <c r="G137" s="29"/>
      <c r="H137" s="29"/>
      <c r="I137" s="30" t="s">
        <v>94</v>
      </c>
      <c r="J137" s="30"/>
      <c r="K137" s="30" t="s">
        <v>201</v>
      </c>
      <c r="L137" s="30"/>
      <c r="M137" s="31">
        <f>8718300</f>
        <v>8718300</v>
      </c>
      <c r="N137" s="31"/>
      <c r="O137" s="31"/>
      <c r="P137" s="31">
        <f>8718300</f>
        <v>8718300</v>
      </c>
      <c r="Q137" s="31"/>
      <c r="R137" s="31"/>
      <c r="S137" s="31"/>
      <c r="T137" s="32">
        <f>0</f>
        <v>0</v>
      </c>
      <c r="U137" s="32"/>
    </row>
    <row r="138" spans="1:21" s="1" customFormat="1" ht="13.5" customHeight="1">
      <c r="A138" s="29" t="s">
        <v>195</v>
      </c>
      <c r="B138" s="29"/>
      <c r="C138" s="29"/>
      <c r="D138" s="29"/>
      <c r="E138" s="29"/>
      <c r="F138" s="29"/>
      <c r="G138" s="29"/>
      <c r="H138" s="29"/>
      <c r="I138" s="30" t="s">
        <v>94</v>
      </c>
      <c r="J138" s="30"/>
      <c r="K138" s="30" t="s">
        <v>202</v>
      </c>
      <c r="L138" s="30"/>
      <c r="M138" s="31">
        <f>45220.36</f>
        <v>45220.36</v>
      </c>
      <c r="N138" s="31"/>
      <c r="O138" s="31"/>
      <c r="P138" s="31">
        <f>45220.36</f>
        <v>45220.36</v>
      </c>
      <c r="Q138" s="31"/>
      <c r="R138" s="31"/>
      <c r="S138" s="31"/>
      <c r="T138" s="32">
        <f>0</f>
        <v>0</v>
      </c>
      <c r="U138" s="32"/>
    </row>
    <row r="139" spans="1:21" s="1" customFormat="1" ht="13.5" customHeight="1">
      <c r="A139" s="29" t="s">
        <v>195</v>
      </c>
      <c r="B139" s="29"/>
      <c r="C139" s="29"/>
      <c r="D139" s="29"/>
      <c r="E139" s="29"/>
      <c r="F139" s="29"/>
      <c r="G139" s="29"/>
      <c r="H139" s="29"/>
      <c r="I139" s="30" t="s">
        <v>94</v>
      </c>
      <c r="J139" s="30"/>
      <c r="K139" s="30" t="s">
        <v>203</v>
      </c>
      <c r="L139" s="30"/>
      <c r="M139" s="31">
        <f>3307308</f>
        <v>3307308</v>
      </c>
      <c r="N139" s="31"/>
      <c r="O139" s="31"/>
      <c r="P139" s="31">
        <f>1983269</f>
        <v>1983269</v>
      </c>
      <c r="Q139" s="31"/>
      <c r="R139" s="31"/>
      <c r="S139" s="31"/>
      <c r="T139" s="32">
        <f>1324039</f>
        <v>1324039</v>
      </c>
      <c r="U139" s="32"/>
    </row>
    <row r="140" spans="1:21" s="1" customFormat="1" ht="13.5" customHeight="1">
      <c r="A140" s="29" t="s">
        <v>195</v>
      </c>
      <c r="B140" s="29"/>
      <c r="C140" s="29"/>
      <c r="D140" s="29"/>
      <c r="E140" s="29"/>
      <c r="F140" s="29"/>
      <c r="G140" s="29"/>
      <c r="H140" s="29"/>
      <c r="I140" s="30" t="s">
        <v>94</v>
      </c>
      <c r="J140" s="30"/>
      <c r="K140" s="30" t="s">
        <v>204</v>
      </c>
      <c r="L140" s="30"/>
      <c r="M140" s="31">
        <f>0</f>
        <v>0</v>
      </c>
      <c r="N140" s="31"/>
      <c r="O140" s="31"/>
      <c r="P140" s="31">
        <f>0</f>
        <v>0</v>
      </c>
      <c r="Q140" s="31"/>
      <c r="R140" s="31"/>
      <c r="S140" s="31"/>
      <c r="T140" s="32">
        <f aca="true" t="shared" si="7" ref="T140:T159">0</f>
        <v>0</v>
      </c>
      <c r="U140" s="32"/>
    </row>
    <row r="141" spans="1:21" s="1" customFormat="1" ht="13.5" customHeight="1">
      <c r="A141" s="29" t="s">
        <v>195</v>
      </c>
      <c r="B141" s="29"/>
      <c r="C141" s="29"/>
      <c r="D141" s="29"/>
      <c r="E141" s="29"/>
      <c r="F141" s="29"/>
      <c r="G141" s="29"/>
      <c r="H141" s="29"/>
      <c r="I141" s="30" t="s">
        <v>94</v>
      </c>
      <c r="J141" s="30"/>
      <c r="K141" s="30" t="s">
        <v>205</v>
      </c>
      <c r="L141" s="30"/>
      <c r="M141" s="31">
        <f>136863.37</f>
        <v>136863.37</v>
      </c>
      <c r="N141" s="31"/>
      <c r="O141" s="31"/>
      <c r="P141" s="31">
        <f>136863.37</f>
        <v>136863.37</v>
      </c>
      <c r="Q141" s="31"/>
      <c r="R141" s="31"/>
      <c r="S141" s="31"/>
      <c r="T141" s="32">
        <f t="shared" si="7"/>
        <v>0</v>
      </c>
      <c r="U141" s="32"/>
    </row>
    <row r="142" spans="1:21" s="1" customFormat="1" ht="13.5" customHeight="1">
      <c r="A142" s="29" t="s">
        <v>195</v>
      </c>
      <c r="B142" s="29"/>
      <c r="C142" s="29"/>
      <c r="D142" s="29"/>
      <c r="E142" s="29"/>
      <c r="F142" s="29"/>
      <c r="G142" s="29"/>
      <c r="H142" s="29"/>
      <c r="I142" s="30" t="s">
        <v>94</v>
      </c>
      <c r="J142" s="30"/>
      <c r="K142" s="30" t="s">
        <v>206</v>
      </c>
      <c r="L142" s="30"/>
      <c r="M142" s="31">
        <f>0</f>
        <v>0</v>
      </c>
      <c r="N142" s="31"/>
      <c r="O142" s="31"/>
      <c r="P142" s="31">
        <f>0</f>
        <v>0</v>
      </c>
      <c r="Q142" s="31"/>
      <c r="R142" s="31"/>
      <c r="S142" s="31"/>
      <c r="T142" s="32">
        <f t="shared" si="7"/>
        <v>0</v>
      </c>
      <c r="U142" s="32"/>
    </row>
    <row r="143" spans="1:21" s="1" customFormat="1" ht="13.5" customHeight="1">
      <c r="A143" s="29" t="s">
        <v>195</v>
      </c>
      <c r="B143" s="29"/>
      <c r="C143" s="29"/>
      <c r="D143" s="29"/>
      <c r="E143" s="29"/>
      <c r="F143" s="29"/>
      <c r="G143" s="29"/>
      <c r="H143" s="29"/>
      <c r="I143" s="30" t="s">
        <v>94</v>
      </c>
      <c r="J143" s="30"/>
      <c r="K143" s="30" t="s">
        <v>207</v>
      </c>
      <c r="L143" s="30"/>
      <c r="M143" s="31">
        <f>2339640</f>
        <v>2339640</v>
      </c>
      <c r="N143" s="31"/>
      <c r="O143" s="31"/>
      <c r="P143" s="31">
        <f>2339640</f>
        <v>2339640</v>
      </c>
      <c r="Q143" s="31"/>
      <c r="R143" s="31"/>
      <c r="S143" s="31"/>
      <c r="T143" s="32">
        <f t="shared" si="7"/>
        <v>0</v>
      </c>
      <c r="U143" s="32"/>
    </row>
    <row r="144" spans="1:21" s="1" customFormat="1" ht="13.5" customHeight="1">
      <c r="A144" s="29" t="s">
        <v>195</v>
      </c>
      <c r="B144" s="29"/>
      <c r="C144" s="29"/>
      <c r="D144" s="29"/>
      <c r="E144" s="29"/>
      <c r="F144" s="29"/>
      <c r="G144" s="29"/>
      <c r="H144" s="29"/>
      <c r="I144" s="30" t="s">
        <v>94</v>
      </c>
      <c r="J144" s="30"/>
      <c r="K144" s="30" t="s">
        <v>208</v>
      </c>
      <c r="L144" s="30"/>
      <c r="M144" s="31">
        <f>20192.51</f>
        <v>20192.51</v>
      </c>
      <c r="N144" s="31"/>
      <c r="O144" s="31"/>
      <c r="P144" s="31">
        <f>20192.51</f>
        <v>20192.51</v>
      </c>
      <c r="Q144" s="31"/>
      <c r="R144" s="31"/>
      <c r="S144" s="31"/>
      <c r="T144" s="32">
        <f t="shared" si="7"/>
        <v>0</v>
      </c>
      <c r="U144" s="32"/>
    </row>
    <row r="145" spans="1:21" s="1" customFormat="1" ht="13.5" customHeight="1">
      <c r="A145" s="29" t="s">
        <v>195</v>
      </c>
      <c r="B145" s="29"/>
      <c r="C145" s="29"/>
      <c r="D145" s="29"/>
      <c r="E145" s="29"/>
      <c r="F145" s="29"/>
      <c r="G145" s="29"/>
      <c r="H145" s="29"/>
      <c r="I145" s="30" t="s">
        <v>94</v>
      </c>
      <c r="J145" s="30"/>
      <c r="K145" s="30" t="s">
        <v>209</v>
      </c>
      <c r="L145" s="30"/>
      <c r="M145" s="31">
        <f>756292</f>
        <v>756292</v>
      </c>
      <c r="N145" s="31"/>
      <c r="O145" s="31"/>
      <c r="P145" s="31">
        <f>756292</f>
        <v>756292</v>
      </c>
      <c r="Q145" s="31"/>
      <c r="R145" s="31"/>
      <c r="S145" s="31"/>
      <c r="T145" s="32">
        <f t="shared" si="7"/>
        <v>0</v>
      </c>
      <c r="U145" s="32"/>
    </row>
    <row r="146" spans="1:21" s="1" customFormat="1" ht="13.5" customHeight="1">
      <c r="A146" s="29" t="s">
        <v>195</v>
      </c>
      <c r="B146" s="29"/>
      <c r="C146" s="29"/>
      <c r="D146" s="29"/>
      <c r="E146" s="29"/>
      <c r="F146" s="29"/>
      <c r="G146" s="29"/>
      <c r="H146" s="29"/>
      <c r="I146" s="30" t="s">
        <v>94</v>
      </c>
      <c r="J146" s="30"/>
      <c r="K146" s="30" t="s">
        <v>210</v>
      </c>
      <c r="L146" s="30"/>
      <c r="M146" s="31">
        <f>0</f>
        <v>0</v>
      </c>
      <c r="N146" s="31"/>
      <c r="O146" s="31"/>
      <c r="P146" s="31">
        <f>0</f>
        <v>0</v>
      </c>
      <c r="Q146" s="31"/>
      <c r="R146" s="31"/>
      <c r="S146" s="31"/>
      <c r="T146" s="32">
        <f t="shared" si="7"/>
        <v>0</v>
      </c>
      <c r="U146" s="32"/>
    </row>
    <row r="147" spans="1:21" s="1" customFormat="1" ht="13.5" customHeight="1">
      <c r="A147" s="29" t="s">
        <v>195</v>
      </c>
      <c r="B147" s="29"/>
      <c r="C147" s="29"/>
      <c r="D147" s="29"/>
      <c r="E147" s="29"/>
      <c r="F147" s="29"/>
      <c r="G147" s="29"/>
      <c r="H147" s="29"/>
      <c r="I147" s="30" t="s">
        <v>94</v>
      </c>
      <c r="J147" s="30"/>
      <c r="K147" s="30" t="s">
        <v>211</v>
      </c>
      <c r="L147" s="30"/>
      <c r="M147" s="31">
        <f>93744</f>
        <v>93744</v>
      </c>
      <c r="N147" s="31"/>
      <c r="O147" s="31"/>
      <c r="P147" s="31">
        <f>93744</f>
        <v>93744</v>
      </c>
      <c r="Q147" s="31"/>
      <c r="R147" s="31"/>
      <c r="S147" s="31"/>
      <c r="T147" s="32">
        <f t="shared" si="7"/>
        <v>0</v>
      </c>
      <c r="U147" s="32"/>
    </row>
    <row r="148" spans="1:21" s="1" customFormat="1" ht="13.5" customHeight="1">
      <c r="A148" s="29" t="s">
        <v>118</v>
      </c>
      <c r="B148" s="29"/>
      <c r="C148" s="29"/>
      <c r="D148" s="29"/>
      <c r="E148" s="29"/>
      <c r="F148" s="29"/>
      <c r="G148" s="29"/>
      <c r="H148" s="29"/>
      <c r="I148" s="30" t="s">
        <v>94</v>
      </c>
      <c r="J148" s="30"/>
      <c r="K148" s="30" t="s">
        <v>212</v>
      </c>
      <c r="L148" s="30"/>
      <c r="M148" s="31">
        <f>33790</f>
        <v>33790</v>
      </c>
      <c r="N148" s="31"/>
      <c r="O148" s="31"/>
      <c r="P148" s="31">
        <f>33790</f>
        <v>33790</v>
      </c>
      <c r="Q148" s="31"/>
      <c r="R148" s="31"/>
      <c r="S148" s="31"/>
      <c r="T148" s="32">
        <f t="shared" si="7"/>
        <v>0</v>
      </c>
      <c r="U148" s="32"/>
    </row>
    <row r="149" spans="1:21" s="1" customFormat="1" ht="13.5" customHeight="1">
      <c r="A149" s="29" t="s">
        <v>109</v>
      </c>
      <c r="B149" s="29"/>
      <c r="C149" s="29"/>
      <c r="D149" s="29"/>
      <c r="E149" s="29"/>
      <c r="F149" s="29"/>
      <c r="G149" s="29"/>
      <c r="H149" s="29"/>
      <c r="I149" s="30" t="s">
        <v>94</v>
      </c>
      <c r="J149" s="30"/>
      <c r="K149" s="30" t="s">
        <v>213</v>
      </c>
      <c r="L149" s="30"/>
      <c r="M149" s="31">
        <f>26055</f>
        <v>26055</v>
      </c>
      <c r="N149" s="31"/>
      <c r="O149" s="31"/>
      <c r="P149" s="31">
        <f>26055</f>
        <v>26055</v>
      </c>
      <c r="Q149" s="31"/>
      <c r="R149" s="31"/>
      <c r="S149" s="31"/>
      <c r="T149" s="32">
        <f t="shared" si="7"/>
        <v>0</v>
      </c>
      <c r="U149" s="32"/>
    </row>
    <row r="150" spans="1:21" s="1" customFormat="1" ht="13.5" customHeight="1">
      <c r="A150" s="29" t="s">
        <v>118</v>
      </c>
      <c r="B150" s="29"/>
      <c r="C150" s="29"/>
      <c r="D150" s="29"/>
      <c r="E150" s="29"/>
      <c r="F150" s="29"/>
      <c r="G150" s="29"/>
      <c r="H150" s="29"/>
      <c r="I150" s="30" t="s">
        <v>94</v>
      </c>
      <c r="J150" s="30"/>
      <c r="K150" s="30" t="s">
        <v>214</v>
      </c>
      <c r="L150" s="30"/>
      <c r="M150" s="31">
        <f>38305</f>
        <v>38305</v>
      </c>
      <c r="N150" s="31"/>
      <c r="O150" s="31"/>
      <c r="P150" s="31">
        <f>38305</f>
        <v>38305</v>
      </c>
      <c r="Q150" s="31"/>
      <c r="R150" s="31"/>
      <c r="S150" s="31"/>
      <c r="T150" s="32">
        <f t="shared" si="7"/>
        <v>0</v>
      </c>
      <c r="U150" s="32"/>
    </row>
    <row r="151" spans="1:21" s="1" customFormat="1" ht="13.5" customHeight="1">
      <c r="A151" s="29" t="s">
        <v>109</v>
      </c>
      <c r="B151" s="29"/>
      <c r="C151" s="29"/>
      <c r="D151" s="29"/>
      <c r="E151" s="29"/>
      <c r="F151" s="29"/>
      <c r="G151" s="29"/>
      <c r="H151" s="29"/>
      <c r="I151" s="30" t="s">
        <v>94</v>
      </c>
      <c r="J151" s="30"/>
      <c r="K151" s="30" t="s">
        <v>215</v>
      </c>
      <c r="L151" s="30"/>
      <c r="M151" s="31">
        <f>0</f>
        <v>0</v>
      </c>
      <c r="N151" s="31"/>
      <c r="O151" s="31"/>
      <c r="P151" s="33" t="s">
        <v>44</v>
      </c>
      <c r="Q151" s="33"/>
      <c r="R151" s="33"/>
      <c r="S151" s="33"/>
      <c r="T151" s="32">
        <f t="shared" si="7"/>
        <v>0</v>
      </c>
      <c r="U151" s="32"/>
    </row>
    <row r="152" spans="1:21" s="1" customFormat="1" ht="13.5" customHeight="1">
      <c r="A152" s="29" t="s">
        <v>118</v>
      </c>
      <c r="B152" s="29"/>
      <c r="C152" s="29"/>
      <c r="D152" s="29"/>
      <c r="E152" s="29"/>
      <c r="F152" s="29"/>
      <c r="G152" s="29"/>
      <c r="H152" s="29"/>
      <c r="I152" s="30" t="s">
        <v>94</v>
      </c>
      <c r="J152" s="30"/>
      <c r="K152" s="30" t="s">
        <v>216</v>
      </c>
      <c r="L152" s="30"/>
      <c r="M152" s="31">
        <f>3000</f>
        <v>3000</v>
      </c>
      <c r="N152" s="31"/>
      <c r="O152" s="31"/>
      <c r="P152" s="31">
        <f>3000</f>
        <v>3000</v>
      </c>
      <c r="Q152" s="31"/>
      <c r="R152" s="31"/>
      <c r="S152" s="31"/>
      <c r="T152" s="32">
        <f t="shared" si="7"/>
        <v>0</v>
      </c>
      <c r="U152" s="32"/>
    </row>
    <row r="153" spans="1:21" s="1" customFormat="1" ht="13.5" customHeight="1">
      <c r="A153" s="29" t="s">
        <v>109</v>
      </c>
      <c r="B153" s="29"/>
      <c r="C153" s="29"/>
      <c r="D153" s="29"/>
      <c r="E153" s="29"/>
      <c r="F153" s="29"/>
      <c r="G153" s="29"/>
      <c r="H153" s="29"/>
      <c r="I153" s="30" t="s">
        <v>94</v>
      </c>
      <c r="J153" s="30"/>
      <c r="K153" s="30" t="s">
        <v>217</v>
      </c>
      <c r="L153" s="30"/>
      <c r="M153" s="31">
        <f>2900</f>
        <v>2900</v>
      </c>
      <c r="N153" s="31"/>
      <c r="O153" s="31"/>
      <c r="P153" s="31">
        <f>2900</f>
        <v>2900</v>
      </c>
      <c r="Q153" s="31"/>
      <c r="R153" s="31"/>
      <c r="S153" s="31"/>
      <c r="T153" s="32">
        <f t="shared" si="7"/>
        <v>0</v>
      </c>
      <c r="U153" s="32"/>
    </row>
    <row r="154" spans="1:21" s="1" customFormat="1" ht="13.5" customHeight="1">
      <c r="A154" s="29" t="s">
        <v>218</v>
      </c>
      <c r="B154" s="29"/>
      <c r="C154" s="29"/>
      <c r="D154" s="29"/>
      <c r="E154" s="29"/>
      <c r="F154" s="29"/>
      <c r="G154" s="29"/>
      <c r="H154" s="29"/>
      <c r="I154" s="30" t="s">
        <v>94</v>
      </c>
      <c r="J154" s="30"/>
      <c r="K154" s="30" t="s">
        <v>219</v>
      </c>
      <c r="L154" s="30"/>
      <c r="M154" s="31">
        <f>134824</f>
        <v>134824</v>
      </c>
      <c r="N154" s="31"/>
      <c r="O154" s="31"/>
      <c r="P154" s="31">
        <f>134824</f>
        <v>134824</v>
      </c>
      <c r="Q154" s="31"/>
      <c r="R154" s="31"/>
      <c r="S154" s="31"/>
      <c r="T154" s="32">
        <f t="shared" si="7"/>
        <v>0</v>
      </c>
      <c r="U154" s="32"/>
    </row>
    <row r="155" spans="1:21" s="1" customFormat="1" ht="13.5" customHeight="1">
      <c r="A155" s="29" t="s">
        <v>218</v>
      </c>
      <c r="B155" s="29"/>
      <c r="C155" s="29"/>
      <c r="D155" s="29"/>
      <c r="E155" s="29"/>
      <c r="F155" s="29"/>
      <c r="G155" s="29"/>
      <c r="H155" s="29"/>
      <c r="I155" s="30" t="s">
        <v>94</v>
      </c>
      <c r="J155" s="30"/>
      <c r="K155" s="30" t="s">
        <v>220</v>
      </c>
      <c r="L155" s="30"/>
      <c r="M155" s="31">
        <f>239005</f>
        <v>239005</v>
      </c>
      <c r="N155" s="31"/>
      <c r="O155" s="31"/>
      <c r="P155" s="31">
        <f>239005</f>
        <v>239005</v>
      </c>
      <c r="Q155" s="31"/>
      <c r="R155" s="31"/>
      <c r="S155" s="31"/>
      <c r="T155" s="32">
        <f t="shared" si="7"/>
        <v>0</v>
      </c>
      <c r="U155" s="32"/>
    </row>
    <row r="156" spans="1:21" s="1" customFormat="1" ht="13.5" customHeight="1">
      <c r="A156" s="29" t="s">
        <v>218</v>
      </c>
      <c r="B156" s="29"/>
      <c r="C156" s="29"/>
      <c r="D156" s="29"/>
      <c r="E156" s="29"/>
      <c r="F156" s="29"/>
      <c r="G156" s="29"/>
      <c r="H156" s="29"/>
      <c r="I156" s="30" t="s">
        <v>94</v>
      </c>
      <c r="J156" s="30"/>
      <c r="K156" s="30" t="s">
        <v>221</v>
      </c>
      <c r="L156" s="30"/>
      <c r="M156" s="31">
        <f>239004</f>
        <v>239004</v>
      </c>
      <c r="N156" s="31"/>
      <c r="O156" s="31"/>
      <c r="P156" s="31">
        <f>239004</f>
        <v>239004</v>
      </c>
      <c r="Q156" s="31"/>
      <c r="R156" s="31"/>
      <c r="S156" s="31"/>
      <c r="T156" s="32">
        <f t="shared" si="7"/>
        <v>0</v>
      </c>
      <c r="U156" s="32"/>
    </row>
    <row r="157" spans="1:21" s="1" customFormat="1" ht="13.5" customHeight="1">
      <c r="A157" s="29" t="s">
        <v>195</v>
      </c>
      <c r="B157" s="29"/>
      <c r="C157" s="29"/>
      <c r="D157" s="29"/>
      <c r="E157" s="29"/>
      <c r="F157" s="29"/>
      <c r="G157" s="29"/>
      <c r="H157" s="29"/>
      <c r="I157" s="30" t="s">
        <v>94</v>
      </c>
      <c r="J157" s="30"/>
      <c r="K157" s="30" t="s">
        <v>222</v>
      </c>
      <c r="L157" s="30"/>
      <c r="M157" s="31">
        <f>818000</f>
        <v>818000</v>
      </c>
      <c r="N157" s="31"/>
      <c r="O157" s="31"/>
      <c r="P157" s="31">
        <f>818000</f>
        <v>818000</v>
      </c>
      <c r="Q157" s="31"/>
      <c r="R157" s="31"/>
      <c r="S157" s="31"/>
      <c r="T157" s="32">
        <f t="shared" si="7"/>
        <v>0</v>
      </c>
      <c r="U157" s="32"/>
    </row>
    <row r="158" spans="1:21" s="1" customFormat="1" ht="13.5" customHeight="1">
      <c r="A158" s="29" t="s">
        <v>195</v>
      </c>
      <c r="B158" s="29"/>
      <c r="C158" s="29"/>
      <c r="D158" s="29"/>
      <c r="E158" s="29"/>
      <c r="F158" s="29"/>
      <c r="G158" s="29"/>
      <c r="H158" s="29"/>
      <c r="I158" s="30" t="s">
        <v>94</v>
      </c>
      <c r="J158" s="30"/>
      <c r="K158" s="30" t="s">
        <v>223</v>
      </c>
      <c r="L158" s="30"/>
      <c r="M158" s="31">
        <f>195614.85</f>
        <v>195614.85</v>
      </c>
      <c r="N158" s="31"/>
      <c r="O158" s="31"/>
      <c r="P158" s="31">
        <f>195614.85</f>
        <v>195614.85</v>
      </c>
      <c r="Q158" s="31"/>
      <c r="R158" s="31"/>
      <c r="S158" s="31"/>
      <c r="T158" s="32">
        <f t="shared" si="7"/>
        <v>0</v>
      </c>
      <c r="U158" s="32"/>
    </row>
    <row r="159" spans="1:21" s="1" customFormat="1" ht="13.5" customHeight="1">
      <c r="A159" s="29" t="s">
        <v>224</v>
      </c>
      <c r="B159" s="29"/>
      <c r="C159" s="29"/>
      <c r="D159" s="29"/>
      <c r="E159" s="29"/>
      <c r="F159" s="29"/>
      <c r="G159" s="29"/>
      <c r="H159" s="29"/>
      <c r="I159" s="30" t="s">
        <v>94</v>
      </c>
      <c r="J159" s="30"/>
      <c r="K159" s="30" t="s">
        <v>225</v>
      </c>
      <c r="L159" s="30"/>
      <c r="M159" s="31">
        <f>0</f>
        <v>0</v>
      </c>
      <c r="N159" s="31"/>
      <c r="O159" s="31"/>
      <c r="P159" s="31">
        <f>0</f>
        <v>0</v>
      </c>
      <c r="Q159" s="31"/>
      <c r="R159" s="31"/>
      <c r="S159" s="31"/>
      <c r="T159" s="32">
        <f t="shared" si="7"/>
        <v>0</v>
      </c>
      <c r="U159" s="32"/>
    </row>
    <row r="160" spans="1:21" s="1" customFormat="1" ht="13.5" customHeight="1">
      <c r="A160" s="29" t="s">
        <v>224</v>
      </c>
      <c r="B160" s="29"/>
      <c r="C160" s="29"/>
      <c r="D160" s="29"/>
      <c r="E160" s="29"/>
      <c r="F160" s="29"/>
      <c r="G160" s="29"/>
      <c r="H160" s="29"/>
      <c r="I160" s="30" t="s">
        <v>94</v>
      </c>
      <c r="J160" s="30"/>
      <c r="K160" s="30" t="s">
        <v>226</v>
      </c>
      <c r="L160" s="30"/>
      <c r="M160" s="31">
        <f>1065000</f>
        <v>1065000</v>
      </c>
      <c r="N160" s="31"/>
      <c r="O160" s="31"/>
      <c r="P160" s="31">
        <f>1062207.29</f>
        <v>1062207.29</v>
      </c>
      <c r="Q160" s="31"/>
      <c r="R160" s="31"/>
      <c r="S160" s="31"/>
      <c r="T160" s="32">
        <f>2792.71</f>
        <v>2792.71</v>
      </c>
      <c r="U160" s="32"/>
    </row>
    <row r="161" spans="1:21" s="1" customFormat="1" ht="15" customHeight="1">
      <c r="A161" s="34" t="s">
        <v>227</v>
      </c>
      <c r="B161" s="34"/>
      <c r="C161" s="34"/>
      <c r="D161" s="34"/>
      <c r="E161" s="34"/>
      <c r="F161" s="34"/>
      <c r="G161" s="34"/>
      <c r="H161" s="34"/>
      <c r="I161" s="35" t="s">
        <v>228</v>
      </c>
      <c r="J161" s="35"/>
      <c r="K161" s="35" t="s">
        <v>35</v>
      </c>
      <c r="L161" s="35"/>
      <c r="M161" s="36">
        <f>-75336560.32</f>
        <v>-75336560.32</v>
      </c>
      <c r="N161" s="36"/>
      <c r="O161" s="36"/>
      <c r="P161" s="36">
        <f>-69357336.87</f>
        <v>-69357336.87</v>
      </c>
      <c r="Q161" s="36"/>
      <c r="R161" s="36"/>
      <c r="S161" s="36"/>
      <c r="T161" s="37" t="s">
        <v>35</v>
      </c>
      <c r="U161" s="37"/>
    </row>
    <row r="162" spans="1:21" s="1" customFormat="1" ht="13.5" customHeight="1">
      <c r="A162" s="7" t="s">
        <v>10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s="1" customFormat="1" ht="13.5" customHeight="1">
      <c r="A163" s="12" t="s">
        <v>229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s="1" customFormat="1" ht="45.75" customHeight="1">
      <c r="A164" s="13" t="s">
        <v>21</v>
      </c>
      <c r="B164" s="13"/>
      <c r="C164" s="13"/>
      <c r="D164" s="13"/>
      <c r="E164" s="13"/>
      <c r="F164" s="13"/>
      <c r="G164" s="13"/>
      <c r="H164" s="13"/>
      <c r="I164" s="13" t="s">
        <v>22</v>
      </c>
      <c r="J164" s="13"/>
      <c r="K164" s="13" t="s">
        <v>230</v>
      </c>
      <c r="L164" s="13"/>
      <c r="M164" s="14" t="s">
        <v>24</v>
      </c>
      <c r="N164" s="14"/>
      <c r="O164" s="14"/>
      <c r="P164" s="14" t="s">
        <v>25</v>
      </c>
      <c r="Q164" s="14"/>
      <c r="R164" s="14"/>
      <c r="S164" s="14"/>
      <c r="T164" s="15" t="s">
        <v>26</v>
      </c>
      <c r="U164" s="15"/>
    </row>
    <row r="165" spans="1:21" s="1" customFormat="1" ht="12.75" customHeight="1">
      <c r="A165" s="16" t="s">
        <v>27</v>
      </c>
      <c r="B165" s="16"/>
      <c r="C165" s="16"/>
      <c r="D165" s="16"/>
      <c r="E165" s="16"/>
      <c r="F165" s="16"/>
      <c r="G165" s="16"/>
      <c r="H165" s="16"/>
      <c r="I165" s="16" t="s">
        <v>28</v>
      </c>
      <c r="J165" s="16"/>
      <c r="K165" s="16" t="s">
        <v>29</v>
      </c>
      <c r="L165" s="16"/>
      <c r="M165" s="17" t="s">
        <v>30</v>
      </c>
      <c r="N165" s="17"/>
      <c r="O165" s="17"/>
      <c r="P165" s="17" t="s">
        <v>31</v>
      </c>
      <c r="Q165" s="17"/>
      <c r="R165" s="17"/>
      <c r="S165" s="17"/>
      <c r="T165" s="18" t="s">
        <v>32</v>
      </c>
      <c r="U165" s="18"/>
    </row>
    <row r="166" spans="1:21" s="1" customFormat="1" ht="13.5" customHeight="1">
      <c r="A166" s="19" t="s">
        <v>231</v>
      </c>
      <c r="B166" s="19"/>
      <c r="C166" s="19"/>
      <c r="D166" s="19"/>
      <c r="E166" s="19"/>
      <c r="F166" s="19"/>
      <c r="G166" s="19"/>
      <c r="H166" s="19"/>
      <c r="I166" s="20" t="s">
        <v>232</v>
      </c>
      <c r="J166" s="20"/>
      <c r="K166" s="20" t="s">
        <v>35</v>
      </c>
      <c r="L166" s="20"/>
      <c r="M166" s="38">
        <f>75336560.32</f>
        <v>75336560.32</v>
      </c>
      <c r="N166" s="38"/>
      <c r="O166" s="38"/>
      <c r="P166" s="21">
        <f>-P161</f>
        <v>69357336.87</v>
      </c>
      <c r="Q166" s="21"/>
      <c r="R166" s="21"/>
      <c r="S166" s="21"/>
      <c r="T166" s="39">
        <f>M166-P166</f>
        <v>5979223.449999988</v>
      </c>
      <c r="U166" s="39"/>
    </row>
    <row r="167" spans="1:21" s="1" customFormat="1" ht="13.5" customHeight="1">
      <c r="A167" s="40" t="s">
        <v>233</v>
      </c>
      <c r="B167" s="40"/>
      <c r="C167" s="40"/>
      <c r="D167" s="40"/>
      <c r="E167" s="40"/>
      <c r="F167" s="40"/>
      <c r="G167" s="40"/>
      <c r="H167" s="40"/>
      <c r="I167" s="41" t="s">
        <v>10</v>
      </c>
      <c r="J167" s="41"/>
      <c r="K167" s="41" t="s">
        <v>10</v>
      </c>
      <c r="L167" s="41"/>
      <c r="M167" s="42" t="s">
        <v>10</v>
      </c>
      <c r="N167" s="42"/>
      <c r="O167" s="42"/>
      <c r="P167" s="43" t="s">
        <v>10</v>
      </c>
      <c r="Q167" s="43"/>
      <c r="R167" s="43"/>
      <c r="S167" s="43"/>
      <c r="T167" s="44" t="s">
        <v>10</v>
      </c>
      <c r="U167" s="44"/>
    </row>
    <row r="168" spans="1:21" s="1" customFormat="1" ht="13.5" customHeight="1">
      <c r="A168" s="23" t="s">
        <v>234</v>
      </c>
      <c r="B168" s="23"/>
      <c r="C168" s="23"/>
      <c r="D168" s="23"/>
      <c r="E168" s="23"/>
      <c r="F168" s="23"/>
      <c r="G168" s="23"/>
      <c r="H168" s="23"/>
      <c r="I168" s="45" t="s">
        <v>235</v>
      </c>
      <c r="J168" s="45"/>
      <c r="K168" s="24" t="s">
        <v>35</v>
      </c>
      <c r="L168" s="24"/>
      <c r="M168" s="46">
        <f>-1850000</f>
        <v>-1850000</v>
      </c>
      <c r="N168" s="46"/>
      <c r="O168" s="46"/>
      <c r="P168" s="25">
        <f>M168</f>
        <v>-1850000</v>
      </c>
      <c r="Q168" s="25"/>
      <c r="R168" s="25"/>
      <c r="S168" s="25"/>
      <c r="T168" s="47">
        <f>M168-P168</f>
        <v>0</v>
      </c>
      <c r="U168" s="47"/>
    </row>
    <row r="169" spans="1:21" s="1" customFormat="1" ht="24" customHeight="1">
      <c r="A169" s="29" t="s">
        <v>236</v>
      </c>
      <c r="B169" s="29"/>
      <c r="C169" s="29"/>
      <c r="D169" s="29"/>
      <c r="E169" s="29"/>
      <c r="F169" s="29"/>
      <c r="G169" s="29"/>
      <c r="H169" s="29"/>
      <c r="I169" s="30" t="s">
        <v>235</v>
      </c>
      <c r="J169" s="30"/>
      <c r="K169" s="30" t="s">
        <v>237</v>
      </c>
      <c r="L169" s="30"/>
      <c r="M169" s="48">
        <f>16200000</f>
        <v>16200000</v>
      </c>
      <c r="N169" s="48"/>
      <c r="O169" s="48"/>
      <c r="P169" s="31">
        <f>16200000</f>
        <v>16200000</v>
      </c>
      <c r="Q169" s="31"/>
      <c r="R169" s="31"/>
      <c r="S169" s="31"/>
      <c r="T169" s="49">
        <f>0</f>
        <v>0</v>
      </c>
      <c r="U169" s="49"/>
    </row>
    <row r="170" spans="1:21" s="1" customFormat="1" ht="24" customHeight="1">
      <c r="A170" s="29" t="s">
        <v>238</v>
      </c>
      <c r="B170" s="29"/>
      <c r="C170" s="29"/>
      <c r="D170" s="29"/>
      <c r="E170" s="29"/>
      <c r="F170" s="29"/>
      <c r="G170" s="29"/>
      <c r="H170" s="29"/>
      <c r="I170" s="30" t="s">
        <v>235</v>
      </c>
      <c r="J170" s="30"/>
      <c r="K170" s="30" t="s">
        <v>239</v>
      </c>
      <c r="L170" s="30"/>
      <c r="M170" s="48">
        <f>-18050000</f>
        <v>-18050000</v>
      </c>
      <c r="N170" s="48"/>
      <c r="O170" s="48"/>
      <c r="P170" s="31">
        <f>-18050000</f>
        <v>-18050000</v>
      </c>
      <c r="Q170" s="31"/>
      <c r="R170" s="31"/>
      <c r="S170" s="31"/>
      <c r="T170" s="49">
        <f>0</f>
        <v>0</v>
      </c>
      <c r="U170" s="49"/>
    </row>
    <row r="171" spans="1:21" s="1" customFormat="1" ht="0.75" customHeight="1">
      <c r="A171" s="51" t="s">
        <v>10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</row>
    <row r="172" spans="1:21" s="1" customFormat="1" ht="13.5" customHeight="1">
      <c r="A172" s="29" t="s">
        <v>240</v>
      </c>
      <c r="B172" s="29"/>
      <c r="C172" s="29"/>
      <c r="D172" s="29"/>
      <c r="E172" s="29"/>
      <c r="F172" s="29"/>
      <c r="G172" s="29"/>
      <c r="H172" s="29"/>
      <c r="I172" s="41" t="s">
        <v>241</v>
      </c>
      <c r="J172" s="41"/>
      <c r="K172" s="41" t="s">
        <v>35</v>
      </c>
      <c r="L172" s="41"/>
      <c r="M172" s="42" t="s">
        <v>44</v>
      </c>
      <c r="N172" s="42"/>
      <c r="O172" s="42"/>
      <c r="P172" s="33" t="s">
        <v>44</v>
      </c>
      <c r="Q172" s="33"/>
      <c r="R172" s="33"/>
      <c r="S172" s="33"/>
      <c r="T172" s="44" t="s">
        <v>44</v>
      </c>
      <c r="U172" s="44"/>
    </row>
    <row r="173" spans="1:21" s="1" customFormat="1" ht="13.5" customHeight="1">
      <c r="A173" s="29" t="s">
        <v>10</v>
      </c>
      <c r="B173" s="29"/>
      <c r="C173" s="29"/>
      <c r="D173" s="29"/>
      <c r="E173" s="29"/>
      <c r="F173" s="29"/>
      <c r="G173" s="29"/>
      <c r="H173" s="29"/>
      <c r="I173" s="30" t="s">
        <v>241</v>
      </c>
      <c r="J173" s="30"/>
      <c r="K173" s="30" t="s">
        <v>10</v>
      </c>
      <c r="L173" s="30"/>
      <c r="M173" s="50" t="s">
        <v>44</v>
      </c>
      <c r="N173" s="50"/>
      <c r="O173" s="50"/>
      <c r="P173" s="33" t="s">
        <v>44</v>
      </c>
      <c r="Q173" s="33"/>
      <c r="R173" s="33"/>
      <c r="S173" s="33"/>
      <c r="T173" s="52" t="s">
        <v>44</v>
      </c>
      <c r="U173" s="52"/>
    </row>
    <row r="174" spans="1:21" s="1" customFormat="1" ht="13.5" customHeight="1">
      <c r="A174" s="29" t="s">
        <v>242</v>
      </c>
      <c r="B174" s="29"/>
      <c r="C174" s="29"/>
      <c r="D174" s="29"/>
      <c r="E174" s="29"/>
      <c r="F174" s="29"/>
      <c r="G174" s="29"/>
      <c r="H174" s="29"/>
      <c r="I174" s="30" t="s">
        <v>243</v>
      </c>
      <c r="J174" s="30"/>
      <c r="K174" s="30" t="s">
        <v>244</v>
      </c>
      <c r="L174" s="30"/>
      <c r="M174" s="48">
        <f>77186560.32</f>
        <v>77186560.32</v>
      </c>
      <c r="N174" s="48"/>
      <c r="O174" s="48"/>
      <c r="P174" s="31">
        <f>71207336.87</f>
        <v>71207336.87</v>
      </c>
      <c r="Q174" s="31"/>
      <c r="R174" s="31"/>
      <c r="S174" s="31"/>
      <c r="T174" s="49">
        <f>5979223.45</f>
        <v>5979223.45</v>
      </c>
      <c r="U174" s="49"/>
    </row>
    <row r="175" spans="1:21" s="1" customFormat="1" ht="13.5" customHeight="1">
      <c r="A175" s="29" t="s">
        <v>245</v>
      </c>
      <c r="B175" s="29"/>
      <c r="C175" s="29"/>
      <c r="D175" s="29"/>
      <c r="E175" s="29"/>
      <c r="F175" s="29"/>
      <c r="G175" s="29"/>
      <c r="H175" s="29"/>
      <c r="I175" s="30" t="s">
        <v>246</v>
      </c>
      <c r="J175" s="30"/>
      <c r="K175" s="30" t="s">
        <v>247</v>
      </c>
      <c r="L175" s="30"/>
      <c r="M175" s="48">
        <v>-98704500</v>
      </c>
      <c r="N175" s="48"/>
      <c r="O175" s="48"/>
      <c r="P175" s="31">
        <f>-183538704.08</f>
        <v>-183538704.08</v>
      </c>
      <c r="Q175" s="31"/>
      <c r="R175" s="31"/>
      <c r="S175" s="31"/>
      <c r="T175" s="53" t="s">
        <v>35</v>
      </c>
      <c r="U175" s="53"/>
    </row>
    <row r="176" spans="1:21" s="1" customFormat="1" ht="13.5" customHeight="1">
      <c r="A176" s="29" t="s">
        <v>248</v>
      </c>
      <c r="B176" s="29"/>
      <c r="C176" s="29"/>
      <c r="D176" s="29"/>
      <c r="E176" s="29"/>
      <c r="F176" s="29"/>
      <c r="G176" s="29"/>
      <c r="H176" s="29"/>
      <c r="I176" s="30" t="s">
        <v>249</v>
      </c>
      <c r="J176" s="30"/>
      <c r="K176" s="30" t="s">
        <v>250</v>
      </c>
      <c r="L176" s="30"/>
      <c r="M176" s="48">
        <v>175891060.32</v>
      </c>
      <c r="N176" s="48"/>
      <c r="O176" s="48"/>
      <c r="P176" s="31">
        <f>254746040.95</f>
        <v>254746040.95</v>
      </c>
      <c r="Q176" s="31"/>
      <c r="R176" s="31"/>
      <c r="S176" s="31"/>
      <c r="T176" s="53" t="s">
        <v>35</v>
      </c>
      <c r="U176" s="53"/>
    </row>
    <row r="177" spans="1:21" s="1" customFormat="1" ht="13.5" customHeight="1">
      <c r="A177" s="55" t="s">
        <v>10</v>
      </c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</row>
    <row r="178" spans="1:21" s="1" customFormat="1" ht="13.5" customHeight="1">
      <c r="A178" s="7" t="s">
        <v>10</v>
      </c>
      <c r="B178" s="7"/>
      <c r="C178" s="7"/>
      <c r="D178" s="7"/>
      <c r="E178" s="7"/>
      <c r="F178" s="54" t="s">
        <v>10</v>
      </c>
      <c r="G178" s="54"/>
      <c r="H178" s="54"/>
      <c r="I178" s="54"/>
      <c r="J178" s="54"/>
      <c r="K178" s="54" t="s">
        <v>251</v>
      </c>
      <c r="L178" s="54"/>
      <c r="M178" s="54"/>
      <c r="N178" s="54"/>
      <c r="O178" s="7" t="s">
        <v>10</v>
      </c>
      <c r="P178" s="7"/>
      <c r="Q178" s="7"/>
      <c r="R178" s="7"/>
      <c r="S178" s="7"/>
      <c r="T178" s="7"/>
      <c r="U178" s="7"/>
    </row>
    <row r="179" spans="1:21" s="1" customFormat="1" ht="13.5" customHeight="1">
      <c r="A179" s="7" t="s">
        <v>10</v>
      </c>
      <c r="B179" s="7"/>
      <c r="C179" s="7"/>
      <c r="D179" s="7"/>
      <c r="E179" s="7"/>
      <c r="F179" s="10" t="s">
        <v>10</v>
      </c>
      <c r="G179" s="56" t="s">
        <v>252</v>
      </c>
      <c r="H179" s="56"/>
      <c r="I179" s="56"/>
      <c r="J179" s="10" t="s">
        <v>10</v>
      </c>
      <c r="K179" s="10" t="s">
        <v>10</v>
      </c>
      <c r="L179" s="56" t="s">
        <v>253</v>
      </c>
      <c r="M179" s="56"/>
      <c r="N179" s="7" t="s">
        <v>10</v>
      </c>
      <c r="O179" s="7"/>
      <c r="P179" s="7"/>
      <c r="Q179" s="7"/>
      <c r="R179" s="7"/>
      <c r="S179" s="7"/>
      <c r="T179" s="7"/>
      <c r="U179" s="7"/>
    </row>
    <row r="180" spans="1:21" s="1" customFormat="1" ht="7.5" customHeight="1">
      <c r="A180" s="7" t="s">
        <v>10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s="1" customFormat="1" ht="13.5" customHeight="1">
      <c r="A181" s="7" t="s">
        <v>10</v>
      </c>
      <c r="B181" s="7"/>
      <c r="C181" s="7"/>
      <c r="D181" s="7"/>
      <c r="E181" s="7"/>
      <c r="F181" s="54" t="s">
        <v>10</v>
      </c>
      <c r="G181" s="54"/>
      <c r="H181" s="54"/>
      <c r="I181" s="54"/>
      <c r="J181" s="54"/>
      <c r="K181" s="54" t="s">
        <v>254</v>
      </c>
      <c r="L181" s="54"/>
      <c r="M181" s="54"/>
      <c r="N181" s="54"/>
      <c r="O181" s="7" t="s">
        <v>10</v>
      </c>
      <c r="P181" s="7"/>
      <c r="Q181" s="7"/>
      <c r="R181" s="7"/>
      <c r="S181" s="7"/>
      <c r="T181" s="7"/>
      <c r="U181" s="7"/>
    </row>
    <row r="182" spans="1:21" s="1" customFormat="1" ht="13.5" customHeight="1">
      <c r="A182" s="7" t="s">
        <v>10</v>
      </c>
      <c r="B182" s="7"/>
      <c r="C182" s="7"/>
      <c r="D182" s="7"/>
      <c r="E182" s="7"/>
      <c r="F182" s="10" t="s">
        <v>10</v>
      </c>
      <c r="G182" s="56" t="s">
        <v>252</v>
      </c>
      <c r="H182" s="56"/>
      <c r="I182" s="56"/>
      <c r="J182" s="10" t="s">
        <v>10</v>
      </c>
      <c r="K182" s="10" t="s">
        <v>10</v>
      </c>
      <c r="L182" s="56" t="s">
        <v>253</v>
      </c>
      <c r="M182" s="56"/>
      <c r="N182" s="7" t="s">
        <v>10</v>
      </c>
      <c r="O182" s="7"/>
      <c r="P182" s="7"/>
      <c r="Q182" s="7"/>
      <c r="R182" s="7"/>
      <c r="S182" s="7"/>
      <c r="T182" s="7"/>
      <c r="U182" s="7"/>
    </row>
    <row r="183" spans="1:21" s="1" customFormat="1" ht="15.75" customHeight="1">
      <c r="A183" s="7" t="s">
        <v>10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s="1" customFormat="1" ht="13.5" customHeight="1">
      <c r="A184" s="57" t="s">
        <v>255</v>
      </c>
      <c r="B184" s="57"/>
      <c r="C184" s="57"/>
      <c r="D184" s="57"/>
      <c r="E184" s="57"/>
      <c r="F184" s="57"/>
      <c r="G184" s="57"/>
      <c r="H184" s="7" t="s">
        <v>10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s="1" customFormat="1" ht="13.5" customHeight="1">
      <c r="A185" s="4" t="s">
        <v>256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</sheetData>
  <sheetProtection/>
  <mergeCells count="1015">
    <mergeCell ref="A183:U183"/>
    <mergeCell ref="A184:G184"/>
    <mergeCell ref="H184:U184"/>
    <mergeCell ref="A185:U185"/>
    <mergeCell ref="A180:U180"/>
    <mergeCell ref="A181:E181"/>
    <mergeCell ref="F181:J181"/>
    <mergeCell ref="K181:N181"/>
    <mergeCell ref="O181:U181"/>
    <mergeCell ref="A182:E182"/>
    <mergeCell ref="G182:I182"/>
    <mergeCell ref="L182:M182"/>
    <mergeCell ref="N182:U182"/>
    <mergeCell ref="A177:U177"/>
    <mergeCell ref="A178:E178"/>
    <mergeCell ref="F178:J178"/>
    <mergeCell ref="K178:N178"/>
    <mergeCell ref="O178:U178"/>
    <mergeCell ref="A179:E179"/>
    <mergeCell ref="G179:I179"/>
    <mergeCell ref="L179:M179"/>
    <mergeCell ref="N179:U179"/>
    <mergeCell ref="A176:H176"/>
    <mergeCell ref="I176:J176"/>
    <mergeCell ref="K176:L176"/>
    <mergeCell ref="M176:O176"/>
    <mergeCell ref="P176:S176"/>
    <mergeCell ref="T176:U176"/>
    <mergeCell ref="A175:H175"/>
    <mergeCell ref="I175:J175"/>
    <mergeCell ref="K175:L175"/>
    <mergeCell ref="M175:O175"/>
    <mergeCell ref="P175:S175"/>
    <mergeCell ref="T175:U175"/>
    <mergeCell ref="A174:H174"/>
    <mergeCell ref="I174:J174"/>
    <mergeCell ref="K174:L174"/>
    <mergeCell ref="M174:O174"/>
    <mergeCell ref="P174:S174"/>
    <mergeCell ref="T174:U174"/>
    <mergeCell ref="A173:H173"/>
    <mergeCell ref="I173:J173"/>
    <mergeCell ref="K173:L173"/>
    <mergeCell ref="M173:O173"/>
    <mergeCell ref="P173:S173"/>
    <mergeCell ref="T173:U173"/>
    <mergeCell ref="A171:U171"/>
    <mergeCell ref="A172:H172"/>
    <mergeCell ref="I172:J172"/>
    <mergeCell ref="K172:L172"/>
    <mergeCell ref="M172:O172"/>
    <mergeCell ref="P172:S172"/>
    <mergeCell ref="T172:U172"/>
    <mergeCell ref="A170:H170"/>
    <mergeCell ref="I170:J170"/>
    <mergeCell ref="K170:L170"/>
    <mergeCell ref="M170:O170"/>
    <mergeCell ref="P170:S170"/>
    <mergeCell ref="T170:U170"/>
    <mergeCell ref="A169:H169"/>
    <mergeCell ref="I169:J169"/>
    <mergeCell ref="K169:L169"/>
    <mergeCell ref="M169:O169"/>
    <mergeCell ref="P169:S169"/>
    <mergeCell ref="T169:U169"/>
    <mergeCell ref="A168:H168"/>
    <mergeCell ref="I168:J168"/>
    <mergeCell ref="K168:L168"/>
    <mergeCell ref="M168:O168"/>
    <mergeCell ref="P168:S168"/>
    <mergeCell ref="T168:U168"/>
    <mergeCell ref="A167:H167"/>
    <mergeCell ref="I167:J167"/>
    <mergeCell ref="K167:L167"/>
    <mergeCell ref="M167:O167"/>
    <mergeCell ref="P167:S167"/>
    <mergeCell ref="T167:U167"/>
    <mergeCell ref="A166:H166"/>
    <mergeCell ref="I166:J166"/>
    <mergeCell ref="K166:L166"/>
    <mergeCell ref="M166:O166"/>
    <mergeCell ref="P166:S166"/>
    <mergeCell ref="T166:U166"/>
    <mergeCell ref="A165:H165"/>
    <mergeCell ref="I165:J165"/>
    <mergeCell ref="K165:L165"/>
    <mergeCell ref="M165:O165"/>
    <mergeCell ref="P165:S165"/>
    <mergeCell ref="T165:U165"/>
    <mergeCell ref="A162:U162"/>
    <mergeCell ref="A163:U163"/>
    <mergeCell ref="A164:H164"/>
    <mergeCell ref="I164:J164"/>
    <mergeCell ref="K164:L164"/>
    <mergeCell ref="M164:O164"/>
    <mergeCell ref="P164:S164"/>
    <mergeCell ref="T164:U164"/>
    <mergeCell ref="A161:H161"/>
    <mergeCell ref="I161:J161"/>
    <mergeCell ref="K161:L161"/>
    <mergeCell ref="M161:O161"/>
    <mergeCell ref="P161:S161"/>
    <mergeCell ref="T161:U161"/>
    <mergeCell ref="A160:H160"/>
    <mergeCell ref="I160:J160"/>
    <mergeCell ref="K160:L160"/>
    <mergeCell ref="M160:O160"/>
    <mergeCell ref="P160:S160"/>
    <mergeCell ref="T160:U160"/>
    <mergeCell ref="A159:H159"/>
    <mergeCell ref="I159:J159"/>
    <mergeCell ref="K159:L159"/>
    <mergeCell ref="M159:O159"/>
    <mergeCell ref="P159:S159"/>
    <mergeCell ref="T159:U159"/>
    <mergeCell ref="A158:H158"/>
    <mergeCell ref="I158:J158"/>
    <mergeCell ref="K158:L158"/>
    <mergeCell ref="M158:O158"/>
    <mergeCell ref="P158:S158"/>
    <mergeCell ref="T158:U158"/>
    <mergeCell ref="A157:H157"/>
    <mergeCell ref="I157:J157"/>
    <mergeCell ref="K157:L157"/>
    <mergeCell ref="M157:O157"/>
    <mergeCell ref="P157:S157"/>
    <mergeCell ref="T157:U157"/>
    <mergeCell ref="A156:H156"/>
    <mergeCell ref="I156:J156"/>
    <mergeCell ref="K156:L156"/>
    <mergeCell ref="M156:O156"/>
    <mergeCell ref="P156:S156"/>
    <mergeCell ref="T156:U156"/>
    <mergeCell ref="A155:H155"/>
    <mergeCell ref="I155:J155"/>
    <mergeCell ref="K155:L155"/>
    <mergeCell ref="M155:O155"/>
    <mergeCell ref="P155:S155"/>
    <mergeCell ref="T155:U155"/>
    <mergeCell ref="A154:H154"/>
    <mergeCell ref="I154:J154"/>
    <mergeCell ref="K154:L154"/>
    <mergeCell ref="M154:O154"/>
    <mergeCell ref="P154:S154"/>
    <mergeCell ref="T154:U154"/>
    <mergeCell ref="A153:H153"/>
    <mergeCell ref="I153:J153"/>
    <mergeCell ref="K153:L153"/>
    <mergeCell ref="M153:O153"/>
    <mergeCell ref="P153:S153"/>
    <mergeCell ref="T153:U153"/>
    <mergeCell ref="A152:H152"/>
    <mergeCell ref="I152:J152"/>
    <mergeCell ref="K152:L152"/>
    <mergeCell ref="M152:O152"/>
    <mergeCell ref="P152:S152"/>
    <mergeCell ref="T152:U152"/>
    <mergeCell ref="A151:H151"/>
    <mergeCell ref="I151:J151"/>
    <mergeCell ref="K151:L151"/>
    <mergeCell ref="M151:O151"/>
    <mergeCell ref="P151:S151"/>
    <mergeCell ref="T151:U151"/>
    <mergeCell ref="A150:H150"/>
    <mergeCell ref="I150:J150"/>
    <mergeCell ref="K150:L150"/>
    <mergeCell ref="M150:O150"/>
    <mergeCell ref="P150:S150"/>
    <mergeCell ref="T150:U150"/>
    <mergeCell ref="A149:H149"/>
    <mergeCell ref="I149:J149"/>
    <mergeCell ref="K149:L149"/>
    <mergeCell ref="M149:O149"/>
    <mergeCell ref="P149:S149"/>
    <mergeCell ref="T149:U149"/>
    <mergeCell ref="A148:H148"/>
    <mergeCell ref="I148:J148"/>
    <mergeCell ref="K148:L148"/>
    <mergeCell ref="M148:O148"/>
    <mergeCell ref="P148:S148"/>
    <mergeCell ref="T148:U148"/>
    <mergeCell ref="A147:H147"/>
    <mergeCell ref="I147:J147"/>
    <mergeCell ref="K147:L147"/>
    <mergeCell ref="M147:O147"/>
    <mergeCell ref="P147:S147"/>
    <mergeCell ref="T147:U147"/>
    <mergeCell ref="A146:H146"/>
    <mergeCell ref="I146:J146"/>
    <mergeCell ref="K146:L146"/>
    <mergeCell ref="M146:O146"/>
    <mergeCell ref="P146:S146"/>
    <mergeCell ref="T146:U146"/>
    <mergeCell ref="A145:H145"/>
    <mergeCell ref="I145:J145"/>
    <mergeCell ref="K145:L145"/>
    <mergeCell ref="M145:O145"/>
    <mergeCell ref="P145:S145"/>
    <mergeCell ref="T145:U145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3:S143"/>
    <mergeCell ref="T143:U143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41:S141"/>
    <mergeCell ref="T141:U141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5:S135"/>
    <mergeCell ref="T135:U135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0:U40"/>
    <mergeCell ref="A41:U41"/>
    <mergeCell ref="A42:H42"/>
    <mergeCell ref="I42:J42"/>
    <mergeCell ref="K42:L42"/>
    <mergeCell ref="M42:O42"/>
    <mergeCell ref="P42:S42"/>
    <mergeCell ref="T42:U42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5905511811023623" bottom="0" header="0" footer="0"/>
  <pageSetup orientation="landscape" paperSize="9" r:id="rId1"/>
  <rowBreaks count="2" manualBreakCount="2">
    <brk id="40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2014-12-31T15:17:34Z</cp:lastPrinted>
  <dcterms:created xsi:type="dcterms:W3CDTF">2014-12-31T15:15:21Z</dcterms:created>
  <dcterms:modified xsi:type="dcterms:W3CDTF">2014-12-31T15:17:35Z</dcterms:modified>
  <cp:category/>
  <cp:version/>
  <cp:contentType/>
  <cp:contentStatus/>
</cp:coreProperties>
</file>